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2019 - 2020 Final Draft Budget" sheetId="1" r:id="rId1"/>
  </sheets>
  <definedNames>
    <definedName name="_xlnm._FilterDatabase" localSheetId="0" hidden="1">'2019 - 2020 Final Draft Budget'!$B$3:$P$51</definedName>
    <definedName name="_xlnm.Print_Area" localSheetId="0">'2019 - 2020 Final Draft Budget'!$A$1:$V$84</definedName>
  </definedNames>
  <calcPr calcId="145621"/>
</workbook>
</file>

<file path=xl/calcChain.xml><?xml version="1.0" encoding="utf-8"?>
<calcChain xmlns="http://schemas.openxmlformats.org/spreadsheetml/2006/main">
  <c r="P84" i="1" l="1"/>
  <c r="F84" i="1"/>
  <c r="E84" i="1"/>
  <c r="D84" i="1"/>
  <c r="E82" i="1"/>
  <c r="P26" i="1"/>
  <c r="P15" i="1"/>
  <c r="E47" i="1"/>
  <c r="F47" i="1"/>
  <c r="G47" i="1"/>
  <c r="H47" i="1"/>
  <c r="I47" i="1"/>
  <c r="J47" i="1"/>
  <c r="D47" i="1"/>
  <c r="I46" i="1"/>
  <c r="E46" i="1"/>
  <c r="J45" i="1"/>
  <c r="D45" i="1"/>
  <c r="D69" i="1"/>
  <c r="T72" i="1" l="1"/>
  <c r="U72" i="1" s="1"/>
  <c r="P72" i="1"/>
  <c r="T82" i="1" l="1"/>
  <c r="P78" i="1" l="1"/>
  <c r="T78" i="1" s="1"/>
  <c r="O77" i="1"/>
  <c r="O80" i="1" s="1"/>
  <c r="N77" i="1"/>
  <c r="N80" i="1" s="1"/>
  <c r="M77" i="1"/>
  <c r="M80" i="1" s="1"/>
  <c r="L77" i="1"/>
  <c r="L80" i="1" s="1"/>
  <c r="K77" i="1"/>
  <c r="K80" i="1" s="1"/>
  <c r="J77" i="1"/>
  <c r="J80" i="1" s="1"/>
  <c r="I77" i="1"/>
  <c r="I80" i="1" s="1"/>
  <c r="H77" i="1"/>
  <c r="H80" i="1" s="1"/>
  <c r="G77" i="1"/>
  <c r="G80" i="1" s="1"/>
  <c r="F77" i="1"/>
  <c r="F80" i="1" s="1"/>
  <c r="E77" i="1"/>
  <c r="E80" i="1" s="1"/>
  <c r="D77" i="1"/>
  <c r="D80" i="1" s="1"/>
  <c r="P76" i="1"/>
  <c r="T76" i="1" s="1"/>
  <c r="P75" i="1"/>
  <c r="T75" i="1" s="1"/>
  <c r="P74" i="1"/>
  <c r="T74" i="1" s="1"/>
  <c r="P73" i="1"/>
  <c r="T73" i="1" s="1"/>
  <c r="O69" i="1"/>
  <c r="N69" i="1"/>
  <c r="M69" i="1"/>
  <c r="L69" i="1"/>
  <c r="K69" i="1"/>
  <c r="J69" i="1"/>
  <c r="I69" i="1"/>
  <c r="H69" i="1"/>
  <c r="G69" i="1"/>
  <c r="F69" i="1"/>
  <c r="E69" i="1"/>
  <c r="P68" i="1"/>
  <c r="T68" i="1" s="1"/>
  <c r="P67" i="1"/>
  <c r="O63" i="1"/>
  <c r="N63" i="1"/>
  <c r="M63" i="1"/>
  <c r="L63" i="1"/>
  <c r="K63" i="1"/>
  <c r="J63" i="1"/>
  <c r="I63" i="1"/>
  <c r="H63" i="1"/>
  <c r="G63" i="1"/>
  <c r="F63" i="1"/>
  <c r="E63" i="1"/>
  <c r="P62" i="1"/>
  <c r="T62" i="1" s="1"/>
  <c r="P61" i="1"/>
  <c r="T61" i="1" s="1"/>
  <c r="P60" i="1"/>
  <c r="T60" i="1" s="1"/>
  <c r="P59" i="1"/>
  <c r="T59" i="1" s="1"/>
  <c r="P58" i="1"/>
  <c r="T58" i="1" s="1"/>
  <c r="P57" i="1"/>
  <c r="T57" i="1" s="1"/>
  <c r="P56" i="1"/>
  <c r="T56" i="1" s="1"/>
  <c r="D55" i="1"/>
  <c r="P48" i="1"/>
  <c r="T48" i="1" s="1"/>
  <c r="P46" i="1"/>
  <c r="T46" i="1" s="1"/>
  <c r="P45" i="1"/>
  <c r="T45" i="1" s="1"/>
  <c r="P44" i="1"/>
  <c r="T44" i="1" s="1"/>
  <c r="O43" i="1"/>
  <c r="N43" i="1"/>
  <c r="M43" i="1"/>
  <c r="L43" i="1"/>
  <c r="K43" i="1"/>
  <c r="J43" i="1"/>
  <c r="I43" i="1"/>
  <c r="H43" i="1"/>
  <c r="G43" i="1"/>
  <c r="F43" i="1"/>
  <c r="E43" i="1"/>
  <c r="D43" i="1"/>
  <c r="P43" i="1" s="1"/>
  <c r="T43" i="1" s="1"/>
  <c r="O42" i="1"/>
  <c r="N42" i="1"/>
  <c r="M42" i="1"/>
  <c r="L42" i="1"/>
  <c r="K42" i="1"/>
  <c r="J42" i="1"/>
  <c r="I42" i="1"/>
  <c r="H42" i="1"/>
  <c r="G42" i="1"/>
  <c r="F42" i="1"/>
  <c r="E42" i="1"/>
  <c r="D42" i="1"/>
  <c r="P42" i="1" s="1"/>
  <c r="T42" i="1" s="1"/>
  <c r="O41" i="1"/>
  <c r="N41" i="1"/>
  <c r="N49" i="1" s="1"/>
  <c r="M41" i="1"/>
  <c r="M49" i="1" s="1"/>
  <c r="L41" i="1"/>
  <c r="L49" i="1" s="1"/>
  <c r="K41" i="1"/>
  <c r="J41" i="1"/>
  <c r="I41" i="1"/>
  <c r="H41" i="1"/>
  <c r="G41" i="1"/>
  <c r="F41" i="1"/>
  <c r="E41" i="1"/>
  <c r="D41" i="1"/>
  <c r="O38" i="1"/>
  <c r="N38" i="1"/>
  <c r="M38" i="1"/>
  <c r="L38" i="1"/>
  <c r="K38" i="1"/>
  <c r="J38" i="1"/>
  <c r="I38" i="1"/>
  <c r="H38" i="1"/>
  <c r="G38" i="1"/>
  <c r="F38" i="1"/>
  <c r="E38" i="1"/>
  <c r="D38" i="1"/>
  <c r="P37" i="1"/>
  <c r="T37" i="1" s="1"/>
  <c r="P36" i="1"/>
  <c r="T36" i="1" s="1"/>
  <c r="P34" i="1"/>
  <c r="T34" i="1" s="1"/>
  <c r="P33" i="1"/>
  <c r="O30" i="1"/>
  <c r="N30" i="1"/>
  <c r="M30" i="1"/>
  <c r="L30" i="1"/>
  <c r="K30" i="1"/>
  <c r="J30" i="1"/>
  <c r="I30" i="1"/>
  <c r="H30" i="1"/>
  <c r="G30" i="1"/>
  <c r="F30" i="1"/>
  <c r="E30" i="1"/>
  <c r="D30" i="1"/>
  <c r="P29" i="1"/>
  <c r="T29" i="1" s="1"/>
  <c r="P28" i="1"/>
  <c r="T28" i="1" s="1"/>
  <c r="P27" i="1"/>
  <c r="T27" i="1" s="1"/>
  <c r="P25" i="1"/>
  <c r="T25" i="1" s="1"/>
  <c r="P24" i="1"/>
  <c r="T24" i="1" s="1"/>
  <c r="P23" i="1"/>
  <c r="T23" i="1" s="1"/>
  <c r="O21" i="1"/>
  <c r="N21" i="1"/>
  <c r="M21" i="1"/>
  <c r="L21" i="1"/>
  <c r="K21" i="1"/>
  <c r="J21" i="1"/>
  <c r="I21" i="1"/>
  <c r="H21" i="1"/>
  <c r="G21" i="1"/>
  <c r="F21" i="1"/>
  <c r="E21" i="1"/>
  <c r="D21" i="1"/>
  <c r="P20" i="1"/>
  <c r="T20" i="1" s="1"/>
  <c r="P19" i="1"/>
  <c r="O17" i="1"/>
  <c r="M17" i="1"/>
  <c r="L17" i="1"/>
  <c r="K17" i="1"/>
  <c r="J17" i="1"/>
  <c r="I17" i="1"/>
  <c r="H17" i="1"/>
  <c r="G17" i="1"/>
  <c r="F17" i="1"/>
  <c r="E17" i="1"/>
  <c r="D17" i="1"/>
  <c r="P16" i="1"/>
  <c r="T16" i="1" s="1"/>
  <c r="P14" i="1"/>
  <c r="T14" i="1" s="1"/>
  <c r="P13" i="1"/>
  <c r="T13" i="1" s="1"/>
  <c r="P12" i="1"/>
  <c r="T12" i="1" s="1"/>
  <c r="P11" i="1"/>
  <c r="T11" i="1" s="1"/>
  <c r="P7" i="1"/>
  <c r="M6" i="1"/>
  <c r="O5" i="1"/>
  <c r="O6" i="1" s="1"/>
  <c r="O8" i="1" s="1"/>
  <c r="N5" i="1"/>
  <c r="N6" i="1" s="1"/>
  <c r="M5" i="1"/>
  <c r="L5" i="1"/>
  <c r="K5" i="1"/>
  <c r="K6" i="1" s="1"/>
  <c r="K8" i="1" s="1"/>
  <c r="J5" i="1"/>
  <c r="J6" i="1" s="1"/>
  <c r="I5" i="1"/>
  <c r="H5" i="1"/>
  <c r="G5" i="1"/>
  <c r="G6" i="1" s="1"/>
  <c r="G8" i="1" s="1"/>
  <c r="F5" i="1"/>
  <c r="F6" i="1" s="1"/>
  <c r="E5" i="1"/>
  <c r="E6" i="1" s="1"/>
  <c r="D5" i="1"/>
  <c r="O2" i="1"/>
  <c r="N2" i="1"/>
  <c r="M2" i="1"/>
  <c r="L2" i="1"/>
  <c r="K2" i="1"/>
  <c r="J2" i="1"/>
  <c r="I2" i="1"/>
  <c r="H2" i="1"/>
  <c r="G2" i="1"/>
  <c r="F2" i="1"/>
  <c r="E2" i="1"/>
  <c r="D2" i="1"/>
  <c r="D49" i="1" l="1"/>
  <c r="H49" i="1"/>
  <c r="D63" i="1"/>
  <c r="P69" i="1"/>
  <c r="T69" i="1" s="1"/>
  <c r="T67" i="1"/>
  <c r="P55" i="1"/>
  <c r="I6" i="1"/>
  <c r="I8" i="1" s="1"/>
  <c r="G49" i="1"/>
  <c r="G51" i="1" s="1"/>
  <c r="G65" i="1" s="1"/>
  <c r="K49" i="1"/>
  <c r="K51" i="1" s="1"/>
  <c r="K65" i="1" s="1"/>
  <c r="O49" i="1"/>
  <c r="O51" i="1" s="1"/>
  <c r="O65" i="1" s="1"/>
  <c r="M8" i="1"/>
  <c r="M51" i="1" s="1"/>
  <c r="M65" i="1" s="1"/>
  <c r="P21" i="1"/>
  <c r="T21" i="1" s="1"/>
  <c r="T19" i="1"/>
  <c r="E8" i="1"/>
  <c r="P30" i="1"/>
  <c r="T30" i="1" s="1"/>
  <c r="P38" i="1"/>
  <c r="T38" i="1" s="1"/>
  <c r="T33" i="1"/>
  <c r="E49" i="1"/>
  <c r="P47" i="1"/>
  <c r="T47" i="1" s="1"/>
  <c r="F49" i="1"/>
  <c r="J49" i="1"/>
  <c r="I49" i="1"/>
  <c r="P5" i="1"/>
  <c r="D6" i="1"/>
  <c r="H6" i="1"/>
  <c r="H8" i="1" s="1"/>
  <c r="L6" i="1"/>
  <c r="L8" i="1" s="1"/>
  <c r="L51" i="1" s="1"/>
  <c r="L65" i="1" s="1"/>
  <c r="F8" i="1"/>
  <c r="J8" i="1"/>
  <c r="N8" i="1"/>
  <c r="P77" i="1"/>
  <c r="P41" i="1"/>
  <c r="H51" i="1" l="1"/>
  <c r="H65" i="1" s="1"/>
  <c r="I51" i="1"/>
  <c r="I65" i="1" s="1"/>
  <c r="E51" i="1"/>
  <c r="E65" i="1" s="1"/>
  <c r="P63" i="1"/>
  <c r="T63" i="1" s="1"/>
  <c r="T55" i="1"/>
  <c r="P49" i="1"/>
  <c r="T49" i="1" s="1"/>
  <c r="T41" i="1"/>
  <c r="P80" i="1"/>
  <c r="T80" i="1" s="1"/>
  <c r="T77" i="1"/>
  <c r="P6" i="1"/>
  <c r="P8" i="1" s="1"/>
  <c r="J51" i="1"/>
  <c r="J65" i="1" s="1"/>
  <c r="D8" i="1"/>
  <c r="D51" i="1" s="1"/>
  <c r="D65" i="1" s="1"/>
  <c r="F51" i="1"/>
  <c r="F65" i="1" s="1"/>
  <c r="T8" i="1" l="1"/>
  <c r="F82" i="1" l="1"/>
  <c r="G82" i="1"/>
  <c r="G84" i="1" s="1"/>
  <c r="H82" i="1" l="1"/>
  <c r="H84" i="1" s="1"/>
  <c r="I82" i="1" l="1"/>
  <c r="I84" i="1" s="1"/>
  <c r="J82" i="1" l="1"/>
  <c r="J84" i="1" s="1"/>
  <c r="K82" i="1" l="1"/>
  <c r="K84" i="1" s="1"/>
  <c r="L82" i="1" l="1"/>
  <c r="L84" i="1" s="1"/>
  <c r="M82" i="1" l="1"/>
  <c r="M84" i="1" s="1"/>
  <c r="N82" i="1" l="1"/>
  <c r="N84" i="1" s="1"/>
  <c r="N17" i="1" l="1"/>
  <c r="N51" i="1" s="1"/>
  <c r="P10" i="1"/>
  <c r="P17" i="1" s="1"/>
  <c r="N65" i="1" l="1"/>
  <c r="T17" i="1"/>
  <c r="P51" i="1"/>
  <c r="T10" i="1"/>
  <c r="P65" i="1" l="1"/>
  <c r="T51" i="1"/>
  <c r="O82" i="1"/>
  <c r="O84" i="1" s="1"/>
  <c r="T65" i="1" l="1"/>
  <c r="T84" i="1"/>
</calcChain>
</file>

<file path=xl/sharedStrings.xml><?xml version="1.0" encoding="utf-8"?>
<sst xmlns="http://schemas.openxmlformats.org/spreadsheetml/2006/main" count="129" uniqueCount="117">
  <si>
    <t>2019-2020 Draft Budget</t>
  </si>
  <si>
    <t>Year Total</t>
  </si>
  <si>
    <t>Notes</t>
  </si>
  <si>
    <t>Clerk Wages</t>
  </si>
  <si>
    <t>Based on 15 hour @£12 per hour per week</t>
  </si>
  <si>
    <t>Pension</t>
  </si>
  <si>
    <t>Statitory Minimum 3% from 04/2019</t>
  </si>
  <si>
    <t>SLCC Membership</t>
  </si>
  <si>
    <t>Staffing Costs</t>
  </si>
  <si>
    <t>Parish Clerk &amp; Responsible Finance Officer</t>
  </si>
  <si>
    <t>Microsoft Office 365</t>
  </si>
  <si>
    <t>Travel</t>
  </si>
  <si>
    <t>Estimated Travel per month</t>
  </si>
  <si>
    <t>Printing</t>
  </si>
  <si>
    <t>Paper &amp; Cartridges</t>
  </si>
  <si>
    <t>Telephone</t>
  </si>
  <si>
    <t>EE Mobile Contract</t>
  </si>
  <si>
    <t>Stationary</t>
  </si>
  <si>
    <t>Stamps, Envelopes, Stationary.</t>
  </si>
  <si>
    <t>Office &amp; Broadband</t>
  </si>
  <si>
    <t>Postage, Printing, Stationary, Telephone, Broadband &amp; Travel.</t>
  </si>
  <si>
    <t>Website Hosting Fee</t>
  </si>
  <si>
    <t>Based on actual</t>
  </si>
  <si>
    <t>Printing CCN</t>
  </si>
  <si>
    <t xml:space="preserve">Advertising &amp; Promotion </t>
  </si>
  <si>
    <t>Website &amp; CCN</t>
  </si>
  <si>
    <t>Insurance</t>
  </si>
  <si>
    <t>Based on current cost</t>
  </si>
  <si>
    <t>Internal Audit</t>
  </si>
  <si>
    <t>External Audit</t>
  </si>
  <si>
    <t>Fire Extinguisher Inspections</t>
  </si>
  <si>
    <t>Fire Alarm Inspections</t>
  </si>
  <si>
    <t>Playground Inspection</t>
  </si>
  <si>
    <t>Insurance, Legal &amp; Professional Costs</t>
  </si>
  <si>
    <t>Insurance, Audits &amp; Inspections.</t>
  </si>
  <si>
    <t>Changing Room Costs</t>
  </si>
  <si>
    <t>Electric</t>
  </si>
  <si>
    <t>Water Rates</t>
  </si>
  <si>
    <t>Community Centre Costs</t>
  </si>
  <si>
    <t>Waste Disposal</t>
  </si>
  <si>
    <t>Utility &amp; Waste Mangement Costs</t>
  </si>
  <si>
    <t>Sulo Bin, Carpark Lights, Changing Room Electric &amp; Water.</t>
  </si>
  <si>
    <t>Village Costs</t>
  </si>
  <si>
    <t>Litter Picking</t>
  </si>
  <si>
    <t>8.5 Hours per week @ £12 per hour.</t>
  </si>
  <si>
    <t>Cleaning</t>
  </si>
  <si>
    <t>2 Hours per week @ £12 per hour.</t>
  </si>
  <si>
    <t>Maintenance</t>
  </si>
  <si>
    <t>Materials</t>
  </si>
  <si>
    <t>A general pervision for materials.</t>
  </si>
  <si>
    <t>Hedge Cutting</t>
  </si>
  <si>
    <t>Weed Control</t>
  </si>
  <si>
    <t>Grass Cutting</t>
  </si>
  <si>
    <t>Tree Maintenance</t>
  </si>
  <si>
    <t>Estimate</t>
  </si>
  <si>
    <t>Asset Management Costs</t>
  </si>
  <si>
    <t>Grass, Hedge, Tree, Litter &amp; General Maintenance</t>
  </si>
  <si>
    <t>Total Operating Costs</t>
  </si>
  <si>
    <t>Exceptional/Planned Costs</t>
  </si>
  <si>
    <t>Training</t>
  </si>
  <si>
    <t>Level 3 SiLCA Qualification including training expenses.</t>
  </si>
  <si>
    <t>Charitable Grant Provision</t>
  </si>
  <si>
    <t>2018 Election Recharge Costs</t>
  </si>
  <si>
    <t>Based on information provided by HCC</t>
  </si>
  <si>
    <t>Repair Culverts</t>
  </si>
  <si>
    <t>Roman Park Improvement Fund</t>
  </si>
  <si>
    <t>Replace Village Bins</t>
  </si>
  <si>
    <t>Changing Rooms Planning</t>
  </si>
  <si>
    <t>Total Projected Costs</t>
  </si>
  <si>
    <t>Credenhill Nursery Ltd</t>
  </si>
  <si>
    <t>Deposit</t>
  </si>
  <si>
    <t>Credenhill Youth Club</t>
  </si>
  <si>
    <t>Balance of funds</t>
  </si>
  <si>
    <t>Income</t>
  </si>
  <si>
    <t xml:space="preserve">Precept </t>
  </si>
  <si>
    <t>Based on 2017/18 figure</t>
  </si>
  <si>
    <t xml:space="preserve">Rent </t>
  </si>
  <si>
    <t xml:space="preserve">Bank Interest </t>
  </si>
  <si>
    <t xml:space="preserve">CCN Adverts </t>
  </si>
  <si>
    <t>Grants Received</t>
  </si>
  <si>
    <t xml:space="preserve">Electricity Recharges </t>
  </si>
  <si>
    <t>Hire of Changing Rooms</t>
  </si>
  <si>
    <t>Total Income</t>
  </si>
  <si>
    <t>C/fwd Balance (Projected)</t>
  </si>
  <si>
    <t>Cash Flow (inc Projected 2017/18 Surplus)</t>
  </si>
  <si>
    <t>Prepayments</t>
  </si>
  <si>
    <t>2019/20 Precept Band D Equivalent</t>
  </si>
  <si>
    <t>2018/19 Precept Band D Equivalent</t>
  </si>
  <si>
    <t>Section 137(4)(a) of the L'l G'ment Act 1972 for local councils in England for 2018/19 is £7.86.</t>
  </si>
  <si>
    <t>% Change Since Last Year</t>
  </si>
  <si>
    <t>per Household figures</t>
  </si>
  <si>
    <t>Previously unspent budget</t>
  </si>
  <si>
    <t>Credenhill Rangers FC hire the changing rooms.</t>
  </si>
  <si>
    <t>Social Club and Community Hall part fund the electricity for the Carpark</t>
  </si>
  <si>
    <t>We need to raise this amount per household to run the parish and invest in the future</t>
  </si>
  <si>
    <t>The day to day running costs of the parish per household before making any improvements.</t>
  </si>
  <si>
    <t>The cost per houshold of all planned projects to maintain or imrpove community assets.</t>
  </si>
  <si>
    <t>We current hold funds that cannot be spent because they are not ours.</t>
  </si>
  <si>
    <t>*Subject to council tax house numbers remaining the same</t>
  </si>
  <si>
    <t>* The amount we are asking each household to pay in 2019/20to help maintain and improve the community.</t>
  </si>
  <si>
    <t>In addition to money we received from your houshold we also raise money in a number of other ways</t>
  </si>
  <si>
    <t>We currently hold in the bank this amount of your money from budgets that we have set aside for the projects listed.</t>
  </si>
  <si>
    <t>Note: Herefrdshire Council have removed the equivelent of £1.50 of funding per household for maintenance</t>
  </si>
  <si>
    <t>P3 &amp; Lengthsmen scheme not available - received £990 in previous years.</t>
  </si>
  <si>
    <t>Repairs to the yazor brook culverts are required totaling approx. £30k. To be funded over 3 years</t>
  </si>
  <si>
    <t>Possible improvements/issues: Boiler, Loft Insulation, Vandalism.</t>
  </si>
  <si>
    <t>Assumng no increase based on rent review in december 2018.</t>
  </si>
  <si>
    <t>Asset Repairs &amp; Renewals</t>
  </si>
  <si>
    <t>Twice per year at existing price plus 5%</t>
  </si>
  <si>
    <t>Assumes £140 per cut per week plus 5% Apr-Oct (possibly 3 areas to add to contract)</t>
  </si>
  <si>
    <t>Based on current cost plus 5%</t>
  </si>
  <si>
    <t>ICO Membership Fee</t>
  </si>
  <si>
    <t>Actual</t>
  </si>
  <si>
    <t>Meeting Room Hire/Setup Cost</t>
  </si>
  <si>
    <t>Office &amp; Meeting Costs</t>
  </si>
  <si>
    <t>Room setup fee per licence</t>
  </si>
  <si>
    <t>16 Bins in the village, 2 are Herefordshire Council, 4 were replaced recently. Inc £400 installation cost.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</si>
</sst>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mmm\ 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164" fontId="0" fillId="0" borderId="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43" fontId="0" fillId="0" borderId="0" xfId="0" applyNumberFormat="1"/>
    <xf numFmtId="0" fontId="0" fillId="0" borderId="0" xfId="0" applyAlignment="1">
      <alignment textRotation="255"/>
    </xf>
    <xf numFmtId="164" fontId="0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4" fontId="0" fillId="0" borderId="0" xfId="2" applyFont="1"/>
    <xf numFmtId="44" fontId="0" fillId="0" borderId="0" xfId="2" applyFont="1" applyAlignment="1">
      <alignment horizontal="center" vertical="center" wrapText="1"/>
    </xf>
    <xf numFmtId="9" fontId="0" fillId="0" borderId="0" xfId="3" applyFont="1"/>
    <xf numFmtId="9" fontId="0" fillId="0" borderId="0" xfId="3" applyFont="1" applyAlignment="1">
      <alignment horizontal="center" vertical="center" wrapText="1"/>
    </xf>
    <xf numFmtId="44" fontId="0" fillId="0" borderId="2" xfId="2" applyFont="1" applyBorder="1"/>
    <xf numFmtId="44" fontId="2" fillId="2" borderId="3" xfId="2" applyFont="1" applyFill="1" applyBorder="1"/>
    <xf numFmtId="44" fontId="2" fillId="2" borderId="4" xfId="2" applyFont="1" applyFill="1" applyBorder="1"/>
    <xf numFmtId="44" fontId="0" fillId="0" borderId="1" xfId="2" applyFont="1" applyBorder="1"/>
    <xf numFmtId="165" fontId="2" fillId="0" borderId="0" xfId="0" applyNumberFormat="1" applyFont="1" applyAlignment="1">
      <alignment horizontal="center" vertical="center"/>
    </xf>
    <xf numFmtId="44" fontId="2" fillId="2" borderId="5" xfId="3" applyNumberFormat="1" applyFont="1" applyFill="1" applyBorder="1"/>
    <xf numFmtId="44" fontId="0" fillId="0" borderId="0" xfId="2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119063</xdr:colOff>
      <xdr:row>72</xdr:row>
      <xdr:rowOff>83344</xdr:rowOff>
    </xdr:from>
    <xdr:to>
      <xdr:col>20</xdr:col>
      <xdr:colOff>666750</xdr:colOff>
      <xdr:row>78</xdr:row>
      <xdr:rowOff>59531</xdr:rowOff>
    </xdr:to>
    <xdr:sp macro="" textlink="">
      <xdr:nvSpPr>
        <xdr:cNvPr id="2" name="Right Brace 1"/>
        <xdr:cNvSpPr/>
      </xdr:nvSpPr>
      <xdr:spPr>
        <a:xfrm>
          <a:off x="13120688" y="7369969"/>
          <a:ext cx="547687" cy="111918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4"/>
  <sheetViews>
    <sheetView tabSelected="1" zoomScale="85" zoomScaleNormal="85"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P58" sqref="P58"/>
    </sheetView>
  </sheetViews>
  <sheetFormatPr defaultRowHeight="15" outlineLevelRow="1" outlineLevelCol="1" x14ac:dyDescent="0.25"/>
  <cols>
    <col min="1" max="1" width="3.28515625" customWidth="1"/>
    <col min="2" max="2" width="4.42578125" style="2" customWidth="1"/>
    <col min="3" max="3" width="32.5703125" style="3" customWidth="1"/>
    <col min="4" max="15" width="10.5703125" style="4" hidden="1" customWidth="1" outlineLevel="1"/>
    <col min="16" max="16" width="15.5703125" style="5" customWidth="1" collapsed="1"/>
    <col min="17" max="17" width="63.5703125" customWidth="1"/>
    <col min="18" max="18" width="16.28515625" customWidth="1"/>
    <col min="19" max="20" width="15" style="24" customWidth="1"/>
    <col min="21" max="21" width="11.28515625" style="26" customWidth="1"/>
    <col min="22" max="22" width="109.42578125" customWidth="1"/>
    <col min="64" max="64" width="12" bestFit="1" customWidth="1"/>
  </cols>
  <sheetData>
    <row r="1" spans="1:21" ht="23.25" x14ac:dyDescent="0.35">
      <c r="A1" s="1" t="s">
        <v>0</v>
      </c>
      <c r="S1" s="34" t="s">
        <v>90</v>
      </c>
      <c r="T1" s="34"/>
      <c r="U1" s="34"/>
    </row>
    <row r="2" spans="1:21" hidden="1" x14ac:dyDescent="0.25">
      <c r="D2" s="4">
        <f t="shared" ref="D2:O2" si="0">ROUND(NETWORKDAYS(D3,EOMONTH(D3,0))/5,0)</f>
        <v>4</v>
      </c>
      <c r="E2" s="4">
        <f t="shared" si="0"/>
        <v>5</v>
      </c>
      <c r="F2" s="4">
        <f t="shared" si="0"/>
        <v>4</v>
      </c>
      <c r="G2" s="4">
        <f t="shared" si="0"/>
        <v>5</v>
      </c>
      <c r="H2" s="4">
        <f t="shared" si="0"/>
        <v>4</v>
      </c>
      <c r="I2" s="4">
        <f t="shared" si="0"/>
        <v>4</v>
      </c>
      <c r="J2" s="4">
        <f t="shared" si="0"/>
        <v>5</v>
      </c>
      <c r="K2" s="4">
        <f t="shared" si="0"/>
        <v>4</v>
      </c>
      <c r="L2" s="4">
        <f t="shared" si="0"/>
        <v>4</v>
      </c>
      <c r="M2" s="4">
        <f t="shared" si="0"/>
        <v>5</v>
      </c>
      <c r="N2" s="4">
        <f t="shared" si="0"/>
        <v>4</v>
      </c>
      <c r="O2" s="4">
        <f t="shared" si="0"/>
        <v>4</v>
      </c>
    </row>
    <row r="3" spans="1:21" s="6" customFormat="1" ht="45" customHeight="1" x14ac:dyDescent="0.25">
      <c r="B3" s="7"/>
      <c r="C3" s="8"/>
      <c r="D3" s="9">
        <v>43556</v>
      </c>
      <c r="E3" s="9">
        <v>43586</v>
      </c>
      <c r="F3" s="9">
        <v>43617</v>
      </c>
      <c r="G3" s="9">
        <v>43647</v>
      </c>
      <c r="H3" s="9">
        <v>43678</v>
      </c>
      <c r="I3" s="9">
        <v>43709</v>
      </c>
      <c r="J3" s="9">
        <v>43739</v>
      </c>
      <c r="K3" s="9">
        <v>43770</v>
      </c>
      <c r="L3" s="9">
        <v>43800</v>
      </c>
      <c r="M3" s="9">
        <v>43831</v>
      </c>
      <c r="N3" s="9">
        <v>43862</v>
      </c>
      <c r="O3" s="9">
        <v>43891</v>
      </c>
      <c r="P3" s="10" t="s">
        <v>1</v>
      </c>
      <c r="Q3" s="32" t="s">
        <v>2</v>
      </c>
      <c r="S3" s="25" t="s">
        <v>87</v>
      </c>
      <c r="T3" s="25" t="s">
        <v>86</v>
      </c>
      <c r="U3" s="27" t="s">
        <v>89</v>
      </c>
    </row>
    <row r="5" spans="1:21" outlineLevel="1" x14ac:dyDescent="0.25">
      <c r="C5" s="3" t="s">
        <v>3</v>
      </c>
      <c r="D5" s="4">
        <f>(15*12/7*365)/12</f>
        <v>782.14285714285722</v>
      </c>
      <c r="E5" s="4">
        <f t="shared" ref="E5:O5" si="1">(15*12/7*365)/12</f>
        <v>782.14285714285722</v>
      </c>
      <c r="F5" s="4">
        <f t="shared" si="1"/>
        <v>782.14285714285722</v>
      </c>
      <c r="G5" s="4">
        <f t="shared" si="1"/>
        <v>782.14285714285722</v>
      </c>
      <c r="H5" s="4">
        <f t="shared" si="1"/>
        <v>782.14285714285722</v>
      </c>
      <c r="I5" s="4">
        <f t="shared" si="1"/>
        <v>782.14285714285722</v>
      </c>
      <c r="J5" s="4">
        <f t="shared" si="1"/>
        <v>782.14285714285722</v>
      </c>
      <c r="K5" s="4">
        <f t="shared" si="1"/>
        <v>782.14285714285722</v>
      </c>
      <c r="L5" s="4">
        <f t="shared" si="1"/>
        <v>782.14285714285722</v>
      </c>
      <c r="M5" s="4">
        <f t="shared" si="1"/>
        <v>782.14285714285722</v>
      </c>
      <c r="N5" s="4">
        <f t="shared" si="1"/>
        <v>782.14285714285722</v>
      </c>
      <c r="O5" s="4">
        <f t="shared" si="1"/>
        <v>782.14285714285722</v>
      </c>
      <c r="P5" s="5">
        <f>SUM(D5:O5)</f>
        <v>9385.7142857142844</v>
      </c>
      <c r="Q5" t="s">
        <v>4</v>
      </c>
    </row>
    <row r="6" spans="1:21" outlineLevel="1" x14ac:dyDescent="0.25">
      <c r="C6" s="3" t="s">
        <v>5</v>
      </c>
      <c r="D6" s="4">
        <f>D5*0.03</f>
        <v>23.464285714285715</v>
      </c>
      <c r="E6" s="4">
        <f t="shared" ref="E6:O6" si="2">E5*0.03</f>
        <v>23.464285714285715</v>
      </c>
      <c r="F6" s="4">
        <f t="shared" si="2"/>
        <v>23.464285714285715</v>
      </c>
      <c r="G6" s="4">
        <f t="shared" si="2"/>
        <v>23.464285714285715</v>
      </c>
      <c r="H6" s="4">
        <f t="shared" si="2"/>
        <v>23.464285714285715</v>
      </c>
      <c r="I6" s="4">
        <f t="shared" si="2"/>
        <v>23.464285714285715</v>
      </c>
      <c r="J6" s="4">
        <f t="shared" si="2"/>
        <v>23.464285714285715</v>
      </c>
      <c r="K6" s="4">
        <f t="shared" si="2"/>
        <v>23.464285714285715</v>
      </c>
      <c r="L6" s="4">
        <f t="shared" si="2"/>
        <v>23.464285714285715</v>
      </c>
      <c r="M6" s="4">
        <f t="shared" si="2"/>
        <v>23.464285714285715</v>
      </c>
      <c r="N6" s="4">
        <f t="shared" si="2"/>
        <v>23.464285714285715</v>
      </c>
      <c r="O6" s="4">
        <f t="shared" si="2"/>
        <v>23.464285714285715</v>
      </c>
      <c r="P6" s="5">
        <f t="shared" ref="P6:P7" si="3">SUM(D6:O6)</f>
        <v>281.57142857142861</v>
      </c>
      <c r="Q6" t="s">
        <v>6</v>
      </c>
    </row>
    <row r="7" spans="1:21" outlineLevel="1" x14ac:dyDescent="0.25">
      <c r="C7" s="3" t="s">
        <v>7</v>
      </c>
      <c r="G7" s="4">
        <v>46</v>
      </c>
      <c r="P7" s="5">
        <f t="shared" si="3"/>
        <v>46</v>
      </c>
    </row>
    <row r="8" spans="1:21" ht="15.75" thickBot="1" x14ac:dyDescent="0.3">
      <c r="B8" s="2" t="s">
        <v>8</v>
      </c>
      <c r="D8" s="11">
        <f>SUM(D5:D7)</f>
        <v>805.60714285714289</v>
      </c>
      <c r="E8" s="11">
        <f t="shared" ref="E8:P8" si="4">SUM(E5:E7)</f>
        <v>805.60714285714289</v>
      </c>
      <c r="F8" s="11">
        <f t="shared" si="4"/>
        <v>805.60714285714289</v>
      </c>
      <c r="G8" s="11">
        <f t="shared" si="4"/>
        <v>851.60714285714289</v>
      </c>
      <c r="H8" s="11">
        <f t="shared" si="4"/>
        <v>805.60714285714289</v>
      </c>
      <c r="I8" s="11">
        <f t="shared" si="4"/>
        <v>805.60714285714289</v>
      </c>
      <c r="J8" s="11">
        <f t="shared" si="4"/>
        <v>805.60714285714289</v>
      </c>
      <c r="K8" s="11">
        <f t="shared" si="4"/>
        <v>805.60714285714289</v>
      </c>
      <c r="L8" s="11">
        <f t="shared" si="4"/>
        <v>805.60714285714289</v>
      </c>
      <c r="M8" s="11">
        <f t="shared" si="4"/>
        <v>805.60714285714289</v>
      </c>
      <c r="N8" s="11">
        <f t="shared" si="4"/>
        <v>805.60714285714289</v>
      </c>
      <c r="O8" s="11">
        <f t="shared" si="4"/>
        <v>805.60714285714289</v>
      </c>
      <c r="P8" s="12">
        <f t="shared" si="4"/>
        <v>9713.2857142857138</v>
      </c>
      <c r="Q8" t="s">
        <v>9</v>
      </c>
      <c r="T8" s="24">
        <f>P8/$P$72*T$72</f>
        <v>15.224519565217388</v>
      </c>
    </row>
    <row r="9" spans="1:21" ht="15.75" outlineLevel="1" thickTop="1" x14ac:dyDescent="0.25"/>
    <row r="10" spans="1:21" ht="14.25" customHeight="1" outlineLevel="1" x14ac:dyDescent="0.25">
      <c r="C10" s="3" t="s">
        <v>10</v>
      </c>
      <c r="D10" s="4">
        <v>105</v>
      </c>
      <c r="P10" s="5">
        <f>SUM(D10:O10)</f>
        <v>105</v>
      </c>
      <c r="T10" s="24">
        <f>P10/$P$72*T$72</f>
        <v>0.16457608695652171</v>
      </c>
    </row>
    <row r="11" spans="1:21" outlineLevel="1" x14ac:dyDescent="0.25">
      <c r="C11" s="3" t="s">
        <v>11</v>
      </c>
      <c r="D11" s="4">
        <v>15</v>
      </c>
      <c r="E11" s="4">
        <v>15</v>
      </c>
      <c r="F11" s="4">
        <v>15</v>
      </c>
      <c r="G11" s="4">
        <v>15</v>
      </c>
      <c r="H11" s="4">
        <v>15</v>
      </c>
      <c r="I11" s="4">
        <v>15</v>
      </c>
      <c r="J11" s="4">
        <v>15</v>
      </c>
      <c r="K11" s="4">
        <v>15</v>
      </c>
      <c r="L11" s="4">
        <v>15</v>
      </c>
      <c r="M11" s="4">
        <v>15</v>
      </c>
      <c r="N11" s="4">
        <v>15</v>
      </c>
      <c r="O11" s="4">
        <v>15</v>
      </c>
      <c r="P11" s="5">
        <f t="shared" ref="P11:P16" si="5">SUM(D11:O11)</f>
        <v>180</v>
      </c>
      <c r="Q11" t="s">
        <v>12</v>
      </c>
      <c r="T11" s="24">
        <f>P11/$P$72*T$72</f>
        <v>0.28213043478260869</v>
      </c>
    </row>
    <row r="12" spans="1:21" outlineLevel="1" x14ac:dyDescent="0.25">
      <c r="C12" s="3" t="s">
        <v>13</v>
      </c>
      <c r="D12" s="4">
        <v>15</v>
      </c>
      <c r="E12" s="4">
        <v>15</v>
      </c>
      <c r="F12" s="4">
        <v>15</v>
      </c>
      <c r="G12" s="4">
        <v>15</v>
      </c>
      <c r="H12" s="4">
        <v>15</v>
      </c>
      <c r="I12" s="4">
        <v>15</v>
      </c>
      <c r="J12" s="4">
        <v>15</v>
      </c>
      <c r="K12" s="4">
        <v>15</v>
      </c>
      <c r="L12" s="4">
        <v>15</v>
      </c>
      <c r="M12" s="4">
        <v>15</v>
      </c>
      <c r="N12" s="4">
        <v>15</v>
      </c>
      <c r="O12" s="4">
        <v>15</v>
      </c>
      <c r="P12" s="5">
        <f t="shared" si="5"/>
        <v>180</v>
      </c>
      <c r="Q12" t="s">
        <v>14</v>
      </c>
      <c r="T12" s="24">
        <f>P12/$P$72*T$72</f>
        <v>0.28213043478260869</v>
      </c>
    </row>
    <row r="13" spans="1:21" outlineLevel="1" x14ac:dyDescent="0.25">
      <c r="C13" s="3" t="s">
        <v>15</v>
      </c>
      <c r="D13" s="4">
        <v>5</v>
      </c>
      <c r="E13" s="4">
        <v>5</v>
      </c>
      <c r="F13" s="4">
        <v>5</v>
      </c>
      <c r="G13" s="4">
        <v>5</v>
      </c>
      <c r="H13" s="4">
        <v>5</v>
      </c>
      <c r="I13" s="4">
        <v>5</v>
      </c>
      <c r="J13" s="4">
        <v>5</v>
      </c>
      <c r="K13" s="4">
        <v>5</v>
      </c>
      <c r="L13" s="4">
        <v>5</v>
      </c>
      <c r="M13" s="4">
        <v>5</v>
      </c>
      <c r="N13" s="4">
        <v>5</v>
      </c>
      <c r="O13" s="4">
        <v>5</v>
      </c>
      <c r="P13" s="5">
        <f t="shared" si="5"/>
        <v>60</v>
      </c>
      <c r="Q13" t="s">
        <v>16</v>
      </c>
      <c r="T13" s="24">
        <f>P13/$P$72*T$72</f>
        <v>9.4043478260869562E-2</v>
      </c>
    </row>
    <row r="14" spans="1:21" outlineLevel="1" x14ac:dyDescent="0.25">
      <c r="C14" s="3" t="s">
        <v>17</v>
      </c>
      <c r="D14" s="4">
        <v>10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10</v>
      </c>
      <c r="K14" s="4">
        <v>10</v>
      </c>
      <c r="L14" s="4">
        <v>10</v>
      </c>
      <c r="M14" s="4">
        <v>10</v>
      </c>
      <c r="N14" s="4">
        <v>10</v>
      </c>
      <c r="O14" s="4">
        <v>10</v>
      </c>
      <c r="P14" s="5">
        <f t="shared" si="5"/>
        <v>120</v>
      </c>
      <c r="Q14" t="s">
        <v>18</v>
      </c>
      <c r="T14" s="24">
        <f>P14/$P$72*T$72</f>
        <v>0.18808695652173912</v>
      </c>
    </row>
    <row r="15" spans="1:21" outlineLevel="1" x14ac:dyDescent="0.25">
      <c r="C15" s="3" t="s">
        <v>19</v>
      </c>
      <c r="D15" s="4">
        <v>15</v>
      </c>
      <c r="E15" s="4">
        <v>15</v>
      </c>
      <c r="F15" s="4">
        <v>15</v>
      </c>
      <c r="G15" s="4">
        <v>15</v>
      </c>
      <c r="H15" s="4">
        <v>15</v>
      </c>
      <c r="I15" s="4">
        <v>15</v>
      </c>
      <c r="J15" s="4">
        <v>15</v>
      </c>
      <c r="K15" s="4">
        <v>15</v>
      </c>
      <c r="L15" s="4">
        <v>15</v>
      </c>
      <c r="M15" s="4">
        <v>15</v>
      </c>
      <c r="N15" s="4">
        <v>15</v>
      </c>
      <c r="O15" s="4">
        <v>15</v>
      </c>
      <c r="P15" s="5">
        <f t="shared" si="5"/>
        <v>180</v>
      </c>
    </row>
    <row r="16" spans="1:21" outlineLevel="1" x14ac:dyDescent="0.25">
      <c r="C16" s="3" t="s">
        <v>113</v>
      </c>
      <c r="K16" s="4">
        <v>150</v>
      </c>
      <c r="P16" s="5">
        <f t="shared" si="5"/>
        <v>150</v>
      </c>
      <c r="Q16" t="s">
        <v>115</v>
      </c>
      <c r="T16" s="24">
        <f>P16/$P$72*T$72</f>
        <v>0.2351086956521739</v>
      </c>
    </row>
    <row r="17" spans="1:20" ht="15.75" thickBot="1" x14ac:dyDescent="0.3">
      <c r="B17" s="2" t="s">
        <v>114</v>
      </c>
      <c r="D17" s="11">
        <f>SUM(D10:D16)</f>
        <v>165</v>
      </c>
      <c r="E17" s="11">
        <f t="shared" ref="E17:P17" si="6">SUM(E10:E16)</f>
        <v>60</v>
      </c>
      <c r="F17" s="11">
        <f t="shared" si="6"/>
        <v>60</v>
      </c>
      <c r="G17" s="11">
        <f t="shared" si="6"/>
        <v>60</v>
      </c>
      <c r="H17" s="11">
        <f t="shared" si="6"/>
        <v>60</v>
      </c>
      <c r="I17" s="11">
        <f t="shared" si="6"/>
        <v>60</v>
      </c>
      <c r="J17" s="11">
        <f t="shared" si="6"/>
        <v>60</v>
      </c>
      <c r="K17" s="11">
        <f t="shared" si="6"/>
        <v>210</v>
      </c>
      <c r="L17" s="11">
        <f t="shared" si="6"/>
        <v>60</v>
      </c>
      <c r="M17" s="11">
        <f t="shared" si="6"/>
        <v>60</v>
      </c>
      <c r="N17" s="11">
        <f t="shared" si="6"/>
        <v>60</v>
      </c>
      <c r="O17" s="11">
        <f t="shared" si="6"/>
        <v>60</v>
      </c>
      <c r="P17" s="12">
        <f t="shared" si="6"/>
        <v>975</v>
      </c>
      <c r="Q17" t="s">
        <v>20</v>
      </c>
      <c r="T17" s="24">
        <f>P17/$P$72*T$72</f>
        <v>1.5282065217391301</v>
      </c>
    </row>
    <row r="18" spans="1:20" ht="15.75" outlineLevel="1" thickTop="1" x14ac:dyDescent="0.25"/>
    <row r="19" spans="1:20" outlineLevel="1" x14ac:dyDescent="0.25">
      <c r="C19" s="3" t="s">
        <v>21</v>
      </c>
      <c r="I19" s="4">
        <v>85</v>
      </c>
      <c r="P19" s="5">
        <f>SUM(D19:O19)</f>
        <v>85</v>
      </c>
      <c r="Q19" t="s">
        <v>22</v>
      </c>
      <c r="T19" s="24">
        <f>P19/$P$72*T$72</f>
        <v>0.13322826086956518</v>
      </c>
    </row>
    <row r="20" spans="1:20" outlineLevel="1" x14ac:dyDescent="0.25">
      <c r="C20" s="3" t="s">
        <v>23</v>
      </c>
      <c r="D20" s="4">
        <v>350</v>
      </c>
      <c r="E20" s="4">
        <v>350</v>
      </c>
      <c r="F20" s="4">
        <v>350</v>
      </c>
      <c r="G20" s="4">
        <v>400</v>
      </c>
      <c r="I20" s="4">
        <v>350</v>
      </c>
      <c r="J20" s="4">
        <v>350</v>
      </c>
      <c r="K20" s="4">
        <v>350</v>
      </c>
      <c r="L20" s="4">
        <v>400</v>
      </c>
      <c r="N20" s="4">
        <v>350</v>
      </c>
      <c r="O20" s="4">
        <v>350</v>
      </c>
      <c r="P20" s="5">
        <f>SUM(D20:O20)</f>
        <v>3600</v>
      </c>
      <c r="Q20" s="13"/>
      <c r="T20" s="24">
        <f>P20/$P$72*T$72</f>
        <v>5.6426086956521733</v>
      </c>
    </row>
    <row r="21" spans="1:20" ht="15.75" thickBot="1" x14ac:dyDescent="0.3">
      <c r="B21" s="2" t="s">
        <v>24</v>
      </c>
      <c r="D21" s="11">
        <f>SUM(D19:D20)</f>
        <v>350</v>
      </c>
      <c r="E21" s="11">
        <f t="shared" ref="E21:P21" si="7">SUM(E19:E20)</f>
        <v>350</v>
      </c>
      <c r="F21" s="11">
        <f t="shared" si="7"/>
        <v>350</v>
      </c>
      <c r="G21" s="11">
        <f t="shared" si="7"/>
        <v>400</v>
      </c>
      <c r="H21" s="11">
        <f t="shared" si="7"/>
        <v>0</v>
      </c>
      <c r="I21" s="11">
        <f t="shared" si="7"/>
        <v>435</v>
      </c>
      <c r="J21" s="11">
        <f t="shared" si="7"/>
        <v>350</v>
      </c>
      <c r="K21" s="11">
        <f t="shared" si="7"/>
        <v>350</v>
      </c>
      <c r="L21" s="11">
        <f t="shared" si="7"/>
        <v>400</v>
      </c>
      <c r="M21" s="11">
        <f t="shared" si="7"/>
        <v>0</v>
      </c>
      <c r="N21" s="11">
        <f t="shared" si="7"/>
        <v>350</v>
      </c>
      <c r="O21" s="11">
        <f t="shared" si="7"/>
        <v>350</v>
      </c>
      <c r="P21" s="12">
        <f t="shared" si="7"/>
        <v>3685</v>
      </c>
      <c r="Q21" t="s">
        <v>25</v>
      </c>
      <c r="T21" s="24">
        <f>P21/$P$72*T$72</f>
        <v>5.7758369565217382</v>
      </c>
    </row>
    <row r="22" spans="1:20" ht="15.75" outlineLevel="1" thickTop="1" x14ac:dyDescent="0.25"/>
    <row r="23" spans="1:20" outlineLevel="1" x14ac:dyDescent="0.25">
      <c r="C23" s="3" t="s">
        <v>26</v>
      </c>
      <c r="D23" s="4">
        <v>2000</v>
      </c>
      <c r="P23" s="5">
        <f>SUM(D23:O23)</f>
        <v>2000</v>
      </c>
      <c r="Q23" t="s">
        <v>110</v>
      </c>
      <c r="T23" s="24">
        <f>P23/$P$72*T$72</f>
        <v>3.1347826086956516</v>
      </c>
    </row>
    <row r="24" spans="1:20" outlineLevel="1" x14ac:dyDescent="0.25">
      <c r="C24" s="3" t="s">
        <v>28</v>
      </c>
      <c r="E24" s="4">
        <v>105</v>
      </c>
      <c r="P24" s="5">
        <f t="shared" ref="P24:P30" si="8">SUM(D24:O24)</f>
        <v>105</v>
      </c>
      <c r="Q24" t="s">
        <v>110</v>
      </c>
      <c r="T24" s="24">
        <f>P24/$P$72*T$72</f>
        <v>0.16457608695652171</v>
      </c>
    </row>
    <row r="25" spans="1:20" outlineLevel="1" x14ac:dyDescent="0.25">
      <c r="C25" s="3" t="s">
        <v>29</v>
      </c>
      <c r="I25" s="4">
        <v>210</v>
      </c>
      <c r="P25" s="5">
        <f t="shared" si="8"/>
        <v>210</v>
      </c>
      <c r="Q25" t="s">
        <v>110</v>
      </c>
      <c r="T25" s="24">
        <f>P25/$P$72*T$72</f>
        <v>0.32915217391304341</v>
      </c>
    </row>
    <row r="26" spans="1:20" outlineLevel="1" x14ac:dyDescent="0.25">
      <c r="C26" s="3" t="s">
        <v>111</v>
      </c>
      <c r="D26" s="4">
        <v>40</v>
      </c>
      <c r="P26" s="5">
        <f t="shared" si="8"/>
        <v>40</v>
      </c>
      <c r="Q26" t="s">
        <v>112</v>
      </c>
    </row>
    <row r="27" spans="1:20" outlineLevel="1" x14ac:dyDescent="0.25">
      <c r="A27" s="14"/>
      <c r="C27" s="3" t="s">
        <v>30</v>
      </c>
      <c r="F27" s="4">
        <v>100</v>
      </c>
      <c r="P27" s="5">
        <f t="shared" si="8"/>
        <v>100</v>
      </c>
      <c r="Q27" t="s">
        <v>110</v>
      </c>
      <c r="T27" s="24">
        <f>P27/$P$72*T$72</f>
        <v>0.1567391304347826</v>
      </c>
    </row>
    <row r="28" spans="1:20" outlineLevel="1" x14ac:dyDescent="0.25">
      <c r="A28" s="14"/>
      <c r="C28" s="3" t="s">
        <v>31</v>
      </c>
      <c r="D28" s="4">
        <v>85</v>
      </c>
      <c r="K28" s="4">
        <v>85</v>
      </c>
      <c r="P28" s="5">
        <f t="shared" si="8"/>
        <v>170</v>
      </c>
      <c r="Q28" t="s">
        <v>110</v>
      </c>
      <c r="T28" s="24">
        <f>P28/$P$72*T$72</f>
        <v>0.26645652173913037</v>
      </c>
    </row>
    <row r="29" spans="1:20" outlineLevel="1" x14ac:dyDescent="0.25">
      <c r="C29" s="3" t="s">
        <v>32</v>
      </c>
      <c r="E29" s="4">
        <v>130</v>
      </c>
      <c r="P29" s="5">
        <f t="shared" si="8"/>
        <v>130</v>
      </c>
      <c r="Q29" t="s">
        <v>110</v>
      </c>
      <c r="T29" s="24">
        <f>P29/$P$72*T$72</f>
        <v>0.20376086956521736</v>
      </c>
    </row>
    <row r="30" spans="1:20" ht="15.75" thickBot="1" x14ac:dyDescent="0.3">
      <c r="B30" s="2" t="s">
        <v>33</v>
      </c>
      <c r="D30" s="11">
        <f>SUM(D23:D29)</f>
        <v>2125</v>
      </c>
      <c r="E30" s="11">
        <f t="shared" ref="E30:O30" si="9">SUM(E23:E29)</f>
        <v>235</v>
      </c>
      <c r="F30" s="11">
        <f t="shared" si="9"/>
        <v>100</v>
      </c>
      <c r="G30" s="11">
        <f t="shared" si="9"/>
        <v>0</v>
      </c>
      <c r="H30" s="11">
        <f t="shared" si="9"/>
        <v>0</v>
      </c>
      <c r="I30" s="11">
        <f t="shared" si="9"/>
        <v>210</v>
      </c>
      <c r="J30" s="11">
        <f t="shared" si="9"/>
        <v>0</v>
      </c>
      <c r="K30" s="11">
        <f t="shared" si="9"/>
        <v>85</v>
      </c>
      <c r="L30" s="11">
        <f t="shared" si="9"/>
        <v>0</v>
      </c>
      <c r="M30" s="11">
        <f t="shared" si="9"/>
        <v>0</v>
      </c>
      <c r="N30" s="11">
        <f t="shared" si="9"/>
        <v>0</v>
      </c>
      <c r="O30" s="11">
        <f t="shared" si="9"/>
        <v>0</v>
      </c>
      <c r="P30" s="12">
        <f t="shared" si="8"/>
        <v>2755</v>
      </c>
      <c r="Q30" t="s">
        <v>34</v>
      </c>
      <c r="T30" s="24">
        <f>P30/$P$72*T$72</f>
        <v>4.3181630434782603</v>
      </c>
    </row>
    <row r="31" spans="1:20" ht="15.75" outlineLevel="1" thickTop="1" x14ac:dyDescent="0.25"/>
    <row r="32" spans="1:20" outlineLevel="1" x14ac:dyDescent="0.25">
      <c r="A32" s="14"/>
      <c r="C32" s="2" t="s">
        <v>35</v>
      </c>
    </row>
    <row r="33" spans="1:20" outlineLevel="1" x14ac:dyDescent="0.25">
      <c r="A33" s="14"/>
      <c r="C33" s="3" t="s">
        <v>36</v>
      </c>
      <c r="D33" s="4">
        <v>20</v>
      </c>
      <c r="E33" s="4">
        <v>20</v>
      </c>
      <c r="F33" s="4">
        <v>20</v>
      </c>
      <c r="G33" s="4">
        <v>20</v>
      </c>
      <c r="H33" s="4">
        <v>20</v>
      </c>
      <c r="I33" s="4">
        <v>20</v>
      </c>
      <c r="J33" s="4">
        <v>20</v>
      </c>
      <c r="K33" s="4">
        <v>20</v>
      </c>
      <c r="L33" s="4">
        <v>20</v>
      </c>
      <c r="M33" s="4">
        <v>20</v>
      </c>
      <c r="N33" s="4">
        <v>20</v>
      </c>
      <c r="O33" s="4">
        <v>20</v>
      </c>
      <c r="P33" s="5">
        <f>SUM(D33:O33)</f>
        <v>240</v>
      </c>
      <c r="Q33" t="s">
        <v>27</v>
      </c>
      <c r="T33" s="24">
        <f>P33/$P$72*T$72</f>
        <v>0.37617391304347825</v>
      </c>
    </row>
    <row r="34" spans="1:20" outlineLevel="1" x14ac:dyDescent="0.25">
      <c r="A34" s="14"/>
      <c r="C34" s="3" t="s">
        <v>37</v>
      </c>
      <c r="D34" s="4">
        <v>18.5</v>
      </c>
      <c r="E34" s="4">
        <v>18.5</v>
      </c>
      <c r="F34" s="4">
        <v>18.5</v>
      </c>
      <c r="G34" s="4">
        <v>18.5</v>
      </c>
      <c r="H34" s="4">
        <v>18.5</v>
      </c>
      <c r="I34" s="4">
        <v>18.5</v>
      </c>
      <c r="J34" s="4">
        <v>18.5</v>
      </c>
      <c r="K34" s="4">
        <v>18.5</v>
      </c>
      <c r="L34" s="4">
        <v>18.5</v>
      </c>
      <c r="M34" s="4">
        <v>18.5</v>
      </c>
      <c r="N34" s="4">
        <v>18.5</v>
      </c>
      <c r="O34" s="4">
        <v>18.5</v>
      </c>
      <c r="P34" s="5">
        <f>SUM(D34:O34)</f>
        <v>222</v>
      </c>
      <c r="Q34" t="s">
        <v>27</v>
      </c>
      <c r="T34" s="24">
        <f>P34/$P$72*T$72</f>
        <v>0.34796086956521738</v>
      </c>
    </row>
    <row r="35" spans="1:20" outlineLevel="1" x14ac:dyDescent="0.25">
      <c r="A35" s="14"/>
      <c r="C35" s="2" t="s">
        <v>38</v>
      </c>
    </row>
    <row r="36" spans="1:20" outlineLevel="1" x14ac:dyDescent="0.25">
      <c r="A36" s="14"/>
      <c r="C36" s="3" t="s">
        <v>39</v>
      </c>
      <c r="D36" s="4">
        <v>120</v>
      </c>
      <c r="G36" s="4">
        <v>120</v>
      </c>
      <c r="J36" s="4">
        <v>120</v>
      </c>
      <c r="M36" s="4">
        <v>120</v>
      </c>
      <c r="P36" s="5">
        <f>SUM(D36:O36)</f>
        <v>480</v>
      </c>
      <c r="Q36" t="s">
        <v>27</v>
      </c>
      <c r="T36" s="24">
        <f>P36/$P$72*T$72</f>
        <v>0.75234782608695649</v>
      </c>
    </row>
    <row r="37" spans="1:20" outlineLevel="1" x14ac:dyDescent="0.25">
      <c r="A37" s="14"/>
      <c r="C37" s="3" t="s">
        <v>36</v>
      </c>
      <c r="D37" s="4">
        <v>23</v>
      </c>
      <c r="E37" s="4">
        <v>23</v>
      </c>
      <c r="F37" s="4">
        <v>23</v>
      </c>
      <c r="G37" s="4">
        <v>23</v>
      </c>
      <c r="H37" s="4">
        <v>23</v>
      </c>
      <c r="I37" s="4">
        <v>23</v>
      </c>
      <c r="J37" s="4">
        <v>23</v>
      </c>
      <c r="K37" s="4">
        <v>23</v>
      </c>
      <c r="L37" s="4">
        <v>23</v>
      </c>
      <c r="M37" s="4">
        <v>23</v>
      </c>
      <c r="N37" s="4">
        <v>23</v>
      </c>
      <c r="O37" s="4">
        <v>23</v>
      </c>
      <c r="P37" s="5">
        <f>SUM(D37:O37)</f>
        <v>276</v>
      </c>
      <c r="Q37" t="s">
        <v>27</v>
      </c>
      <c r="T37" s="24">
        <f>P37/$P$72*T$72</f>
        <v>0.43259999999999993</v>
      </c>
    </row>
    <row r="38" spans="1:20" ht="15.75" thickBot="1" x14ac:dyDescent="0.3">
      <c r="B38" s="2" t="s">
        <v>40</v>
      </c>
      <c r="D38" s="11">
        <f>SUM(D33:D37)</f>
        <v>181.5</v>
      </c>
      <c r="E38" s="11">
        <f t="shared" ref="E38:P38" si="10">SUM(E33:E37)</f>
        <v>61.5</v>
      </c>
      <c r="F38" s="11">
        <f t="shared" si="10"/>
        <v>61.5</v>
      </c>
      <c r="G38" s="11">
        <f t="shared" si="10"/>
        <v>181.5</v>
      </c>
      <c r="H38" s="11">
        <f t="shared" si="10"/>
        <v>61.5</v>
      </c>
      <c r="I38" s="11">
        <f t="shared" si="10"/>
        <v>61.5</v>
      </c>
      <c r="J38" s="11">
        <f t="shared" si="10"/>
        <v>181.5</v>
      </c>
      <c r="K38" s="11">
        <f t="shared" si="10"/>
        <v>61.5</v>
      </c>
      <c r="L38" s="11">
        <f t="shared" si="10"/>
        <v>61.5</v>
      </c>
      <c r="M38" s="11">
        <f t="shared" si="10"/>
        <v>181.5</v>
      </c>
      <c r="N38" s="11">
        <f t="shared" si="10"/>
        <v>61.5</v>
      </c>
      <c r="O38" s="11">
        <f t="shared" si="10"/>
        <v>61.5</v>
      </c>
      <c r="P38" s="12">
        <f t="shared" si="10"/>
        <v>1218</v>
      </c>
      <c r="Q38" t="s">
        <v>41</v>
      </c>
      <c r="T38" s="24">
        <f>P38/$P$72*T$72</f>
        <v>1.9090826086956518</v>
      </c>
    </row>
    <row r="39" spans="1:20" ht="15.75" outlineLevel="1" thickTop="1" x14ac:dyDescent="0.25"/>
    <row r="40" spans="1:20" outlineLevel="1" x14ac:dyDescent="0.25">
      <c r="A40" s="14"/>
      <c r="C40" s="2" t="s">
        <v>42</v>
      </c>
    </row>
    <row r="41" spans="1:20" outlineLevel="1" x14ac:dyDescent="0.25">
      <c r="A41" s="14"/>
      <c r="C41" s="3" t="s">
        <v>43</v>
      </c>
      <c r="D41" s="4">
        <f>12*8.5/7*365/12</f>
        <v>443.21428571428572</v>
      </c>
      <c r="E41" s="4">
        <f t="shared" ref="E41:O41" si="11">12*8.5/7*365/12</f>
        <v>443.21428571428572</v>
      </c>
      <c r="F41" s="4">
        <f t="shared" si="11"/>
        <v>443.21428571428572</v>
      </c>
      <c r="G41" s="4">
        <f t="shared" si="11"/>
        <v>443.21428571428572</v>
      </c>
      <c r="H41" s="4">
        <f t="shared" si="11"/>
        <v>443.21428571428572</v>
      </c>
      <c r="I41" s="4">
        <f t="shared" si="11"/>
        <v>443.21428571428572</v>
      </c>
      <c r="J41" s="4">
        <f t="shared" si="11"/>
        <v>443.21428571428572</v>
      </c>
      <c r="K41" s="4">
        <f t="shared" si="11"/>
        <v>443.21428571428572</v>
      </c>
      <c r="L41" s="4">
        <f t="shared" si="11"/>
        <v>443.21428571428572</v>
      </c>
      <c r="M41" s="4">
        <f t="shared" si="11"/>
        <v>443.21428571428572</v>
      </c>
      <c r="N41" s="4">
        <f t="shared" si="11"/>
        <v>443.21428571428572</v>
      </c>
      <c r="O41" s="4">
        <f t="shared" si="11"/>
        <v>443.21428571428572</v>
      </c>
      <c r="P41" s="5">
        <f>SUM(D41:O41)</f>
        <v>5318.5714285714275</v>
      </c>
      <c r="Q41" t="s">
        <v>44</v>
      </c>
      <c r="T41" s="24">
        <f t="shared" ref="T41:T49" si="12">P41/$P$72*T$72</f>
        <v>8.3362826086956492</v>
      </c>
    </row>
    <row r="42" spans="1:20" outlineLevel="1" x14ac:dyDescent="0.25">
      <c r="A42" s="14"/>
      <c r="C42" s="3" t="s">
        <v>45</v>
      </c>
      <c r="D42" s="4">
        <f>2*12</f>
        <v>24</v>
      </c>
      <c r="E42" s="4">
        <f t="shared" ref="E42:O43" si="13">2*12</f>
        <v>24</v>
      </c>
      <c r="F42" s="4">
        <f t="shared" si="13"/>
        <v>24</v>
      </c>
      <c r="G42" s="4">
        <f t="shared" si="13"/>
        <v>24</v>
      </c>
      <c r="H42" s="4">
        <f t="shared" si="13"/>
        <v>24</v>
      </c>
      <c r="I42" s="4">
        <f t="shared" si="13"/>
        <v>24</v>
      </c>
      <c r="J42" s="4">
        <f t="shared" si="13"/>
        <v>24</v>
      </c>
      <c r="K42" s="4">
        <f t="shared" si="13"/>
        <v>24</v>
      </c>
      <c r="L42" s="4">
        <f t="shared" si="13"/>
        <v>24</v>
      </c>
      <c r="M42" s="4">
        <f t="shared" si="13"/>
        <v>24</v>
      </c>
      <c r="N42" s="4">
        <f t="shared" si="13"/>
        <v>24</v>
      </c>
      <c r="O42" s="4">
        <f t="shared" si="13"/>
        <v>24</v>
      </c>
      <c r="P42" s="5">
        <f t="shared" ref="P42:P48" si="14">SUM(D42:O42)</f>
        <v>288</v>
      </c>
      <c r="Q42" t="s">
        <v>46</v>
      </c>
      <c r="T42" s="24">
        <f t="shared" si="12"/>
        <v>0.45140869565217384</v>
      </c>
    </row>
    <row r="43" spans="1:20" outlineLevel="1" x14ac:dyDescent="0.25">
      <c r="A43" s="14"/>
      <c r="C43" s="3" t="s">
        <v>47</v>
      </c>
      <c r="D43" s="4">
        <f>2*12</f>
        <v>24</v>
      </c>
      <c r="E43" s="4">
        <f t="shared" si="13"/>
        <v>24</v>
      </c>
      <c r="F43" s="4">
        <f t="shared" si="13"/>
        <v>24</v>
      </c>
      <c r="G43" s="4">
        <f t="shared" si="13"/>
        <v>24</v>
      </c>
      <c r="H43" s="4">
        <f t="shared" si="13"/>
        <v>24</v>
      </c>
      <c r="I43" s="4">
        <f t="shared" si="13"/>
        <v>24</v>
      </c>
      <c r="J43" s="4">
        <f t="shared" si="13"/>
        <v>24</v>
      </c>
      <c r="K43" s="4">
        <f t="shared" si="13"/>
        <v>24</v>
      </c>
      <c r="L43" s="4">
        <f t="shared" si="13"/>
        <v>24</v>
      </c>
      <c r="M43" s="4">
        <f t="shared" si="13"/>
        <v>24</v>
      </c>
      <c r="N43" s="4">
        <f t="shared" si="13"/>
        <v>24</v>
      </c>
      <c r="O43" s="4">
        <f t="shared" si="13"/>
        <v>24</v>
      </c>
      <c r="P43" s="5">
        <f t="shared" si="14"/>
        <v>288</v>
      </c>
      <c r="Q43" t="s">
        <v>46</v>
      </c>
      <c r="T43" s="24">
        <f t="shared" si="12"/>
        <v>0.45140869565217384</v>
      </c>
    </row>
    <row r="44" spans="1:20" outlineLevel="1" x14ac:dyDescent="0.25">
      <c r="A44" s="14"/>
      <c r="C44" s="3" t="s">
        <v>48</v>
      </c>
      <c r="D44" s="4">
        <v>20</v>
      </c>
      <c r="E44" s="4">
        <v>20</v>
      </c>
      <c r="F44" s="4">
        <v>20</v>
      </c>
      <c r="G44" s="4">
        <v>20</v>
      </c>
      <c r="H44" s="4">
        <v>20</v>
      </c>
      <c r="I44" s="4">
        <v>20</v>
      </c>
      <c r="J44" s="4">
        <v>20</v>
      </c>
      <c r="K44" s="4">
        <v>20</v>
      </c>
      <c r="L44" s="4">
        <v>20</v>
      </c>
      <c r="M44" s="4">
        <v>20</v>
      </c>
      <c r="N44" s="4">
        <v>20</v>
      </c>
      <c r="O44" s="4">
        <v>20</v>
      </c>
      <c r="P44" s="5">
        <f t="shared" si="14"/>
        <v>240</v>
      </c>
      <c r="Q44" t="s">
        <v>49</v>
      </c>
      <c r="T44" s="24">
        <f t="shared" si="12"/>
        <v>0.37617391304347825</v>
      </c>
    </row>
    <row r="45" spans="1:20" outlineLevel="1" x14ac:dyDescent="0.25">
      <c r="A45" s="14"/>
      <c r="C45" s="3" t="s">
        <v>50</v>
      </c>
      <c r="D45" s="4">
        <f>860*1.05</f>
        <v>903</v>
      </c>
      <c r="J45" s="4">
        <f>860*1.05</f>
        <v>903</v>
      </c>
      <c r="P45" s="5">
        <f t="shared" si="14"/>
        <v>1806</v>
      </c>
      <c r="Q45" t="s">
        <v>108</v>
      </c>
      <c r="T45" s="24">
        <f t="shared" si="12"/>
        <v>2.8307086956521736</v>
      </c>
    </row>
    <row r="46" spans="1:20" outlineLevel="1" x14ac:dyDescent="0.25">
      <c r="A46" s="14"/>
      <c r="C46" s="3" t="s">
        <v>51</v>
      </c>
      <c r="E46" s="4">
        <f>225*1.05</f>
        <v>236.25</v>
      </c>
      <c r="I46" s="4">
        <f>225*1.05</f>
        <v>236.25</v>
      </c>
      <c r="P46" s="5">
        <f t="shared" si="14"/>
        <v>472.5</v>
      </c>
      <c r="Q46" t="s">
        <v>108</v>
      </c>
      <c r="T46" s="24">
        <f t="shared" si="12"/>
        <v>0.74059239130434773</v>
      </c>
    </row>
    <row r="47" spans="1:20" outlineLevel="1" x14ac:dyDescent="0.25">
      <c r="A47" s="14"/>
      <c r="C47" s="3" t="s">
        <v>52</v>
      </c>
      <c r="D47" s="4">
        <f>140*D2*1.05</f>
        <v>588</v>
      </c>
      <c r="E47" s="4">
        <f t="shared" ref="E47:J47" si="15">140*E2*1.05</f>
        <v>735</v>
      </c>
      <c r="F47" s="4">
        <f t="shared" si="15"/>
        <v>588</v>
      </c>
      <c r="G47" s="4">
        <f t="shared" si="15"/>
        <v>735</v>
      </c>
      <c r="H47" s="4">
        <f t="shared" si="15"/>
        <v>588</v>
      </c>
      <c r="I47" s="4">
        <f t="shared" si="15"/>
        <v>588</v>
      </c>
      <c r="J47" s="4">
        <f t="shared" si="15"/>
        <v>735</v>
      </c>
      <c r="P47" s="5">
        <f t="shared" si="14"/>
        <v>4557</v>
      </c>
      <c r="Q47" t="s">
        <v>109</v>
      </c>
      <c r="T47" s="24">
        <f t="shared" si="12"/>
        <v>7.1426021739130423</v>
      </c>
    </row>
    <row r="48" spans="1:20" outlineLevel="1" x14ac:dyDescent="0.25">
      <c r="A48" s="14"/>
      <c r="C48" s="3" t="s">
        <v>53</v>
      </c>
      <c r="J48" s="4">
        <v>250</v>
      </c>
      <c r="O48" s="4">
        <v>250</v>
      </c>
      <c r="P48" s="5">
        <f t="shared" si="14"/>
        <v>500</v>
      </c>
      <c r="Q48" t="s">
        <v>54</v>
      </c>
      <c r="T48" s="24">
        <f t="shared" si="12"/>
        <v>0.7836956521739129</v>
      </c>
    </row>
    <row r="49" spans="2:22" ht="15.75" thickBot="1" x14ac:dyDescent="0.3">
      <c r="B49" s="2" t="s">
        <v>55</v>
      </c>
      <c r="D49" s="11">
        <f>SUM(D41:D48)</f>
        <v>2002.2142857142858</v>
      </c>
      <c r="E49" s="11">
        <f t="shared" ref="E49:P49" si="16">SUM(E41:E48)</f>
        <v>1482.4642857142858</v>
      </c>
      <c r="F49" s="11">
        <f t="shared" si="16"/>
        <v>1099.2142857142858</v>
      </c>
      <c r="G49" s="11">
        <f t="shared" si="16"/>
        <v>1246.2142857142858</v>
      </c>
      <c r="H49" s="11">
        <f t="shared" si="16"/>
        <v>1099.2142857142858</v>
      </c>
      <c r="I49" s="11">
        <f t="shared" si="16"/>
        <v>1335.4642857142858</v>
      </c>
      <c r="J49" s="11">
        <f t="shared" si="16"/>
        <v>2399.2142857142858</v>
      </c>
      <c r="K49" s="11">
        <f t="shared" si="16"/>
        <v>511.21428571428572</v>
      </c>
      <c r="L49" s="11">
        <f t="shared" si="16"/>
        <v>511.21428571428572</v>
      </c>
      <c r="M49" s="11">
        <f t="shared" si="16"/>
        <v>511.21428571428572</v>
      </c>
      <c r="N49" s="11">
        <f t="shared" si="16"/>
        <v>511.21428571428572</v>
      </c>
      <c r="O49" s="11">
        <f t="shared" si="16"/>
        <v>761.21428571428578</v>
      </c>
      <c r="P49" s="12">
        <f t="shared" si="16"/>
        <v>13470.071428571428</v>
      </c>
      <c r="Q49" t="s">
        <v>56</v>
      </c>
      <c r="T49" s="24">
        <f t="shared" si="12"/>
        <v>21.112872826086953</v>
      </c>
    </row>
    <row r="50" spans="2:22" ht="15.75" thickTop="1" x14ac:dyDescent="0.2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</row>
    <row r="51" spans="2:22" ht="15.75" thickBot="1" x14ac:dyDescent="0.3">
      <c r="B51" s="17" t="s">
        <v>57</v>
      </c>
      <c r="C51" s="18"/>
      <c r="D51" s="19">
        <f>D49+D30+D21+D17+D8+D38</f>
        <v>5629.3214285714294</v>
      </c>
      <c r="E51" s="19">
        <f t="shared" ref="E51:P51" si="17">E49+E30+E21+E17+E8+E38</f>
        <v>2994.5714285714284</v>
      </c>
      <c r="F51" s="19">
        <f t="shared" si="17"/>
        <v>2476.3214285714284</v>
      </c>
      <c r="G51" s="19">
        <f t="shared" si="17"/>
        <v>2739.3214285714284</v>
      </c>
      <c r="H51" s="19">
        <f t="shared" si="17"/>
        <v>2026.3214285714287</v>
      </c>
      <c r="I51" s="19">
        <f t="shared" si="17"/>
        <v>2907.5714285714284</v>
      </c>
      <c r="J51" s="19">
        <f t="shared" si="17"/>
        <v>3796.3214285714284</v>
      </c>
      <c r="K51" s="19">
        <f t="shared" si="17"/>
        <v>2023.3214285714287</v>
      </c>
      <c r="L51" s="19">
        <f t="shared" si="17"/>
        <v>1838.3214285714287</v>
      </c>
      <c r="M51" s="19">
        <f t="shared" si="17"/>
        <v>1558.3214285714287</v>
      </c>
      <c r="N51" s="19">
        <f t="shared" si="17"/>
        <v>1788.3214285714287</v>
      </c>
      <c r="O51" s="19">
        <f t="shared" si="17"/>
        <v>2038.3214285714287</v>
      </c>
      <c r="P51" s="19">
        <f t="shared" si="17"/>
        <v>31816.357142857141</v>
      </c>
      <c r="T51" s="28">
        <f>P51/$P$72*T$72</f>
        <v>49.868681521739127</v>
      </c>
      <c r="V51" t="s">
        <v>95</v>
      </c>
    </row>
    <row r="52" spans="2:22" x14ac:dyDescent="0.2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</row>
    <row r="53" spans="2:22" x14ac:dyDescent="0.25">
      <c r="B53" s="2" t="s">
        <v>58</v>
      </c>
    </row>
    <row r="55" spans="2:22" x14ac:dyDescent="0.25">
      <c r="C55" s="3" t="s">
        <v>59</v>
      </c>
      <c r="D55" s="4">
        <f>340+350+130+130+130+130</f>
        <v>1210</v>
      </c>
      <c r="P55" s="5">
        <f>SUM(D55:O55)</f>
        <v>1210</v>
      </c>
      <c r="Q55" t="s">
        <v>60</v>
      </c>
      <c r="T55" s="24">
        <f t="shared" ref="T55:T63" si="18">P55/$P$72*T$72</f>
        <v>1.8965434782608694</v>
      </c>
    </row>
    <row r="56" spans="2:22" x14ac:dyDescent="0.25">
      <c r="C56" s="3" t="s">
        <v>61</v>
      </c>
      <c r="D56" s="4">
        <v>8000</v>
      </c>
      <c r="P56" s="5">
        <f t="shared" ref="P56:P62" si="19">SUM(D56:O56)</f>
        <v>8000</v>
      </c>
      <c r="Q56" t="s">
        <v>88</v>
      </c>
      <c r="T56" s="24">
        <f t="shared" si="18"/>
        <v>12.539130434782606</v>
      </c>
    </row>
    <row r="57" spans="2:22" x14ac:dyDescent="0.25">
      <c r="C57" s="3" t="s">
        <v>62</v>
      </c>
      <c r="D57" s="4">
        <v>2050</v>
      </c>
      <c r="P57" s="5">
        <f t="shared" si="19"/>
        <v>2050</v>
      </c>
      <c r="Q57" t="s">
        <v>63</v>
      </c>
      <c r="T57" s="24">
        <f t="shared" si="18"/>
        <v>3.2131521739130431</v>
      </c>
    </row>
    <row r="58" spans="2:22" x14ac:dyDescent="0.25">
      <c r="C58" s="3" t="s">
        <v>64</v>
      </c>
      <c r="O58" s="4">
        <v>12500</v>
      </c>
      <c r="P58" s="5">
        <f>SUM(D58:O58)</f>
        <v>12500</v>
      </c>
      <c r="Q58" t="s">
        <v>104</v>
      </c>
      <c r="T58" s="24">
        <f t="shared" si="18"/>
        <v>19.592391304347824</v>
      </c>
    </row>
    <row r="59" spans="2:22" x14ac:dyDescent="0.25">
      <c r="C59" s="3" t="s">
        <v>65</v>
      </c>
      <c r="I59" s="4">
        <v>5000</v>
      </c>
      <c r="P59" s="5">
        <f t="shared" si="19"/>
        <v>5000</v>
      </c>
      <c r="Q59" t="s">
        <v>91</v>
      </c>
      <c r="T59" s="24">
        <f t="shared" si="18"/>
        <v>7.836956521739129</v>
      </c>
    </row>
    <row r="60" spans="2:22" x14ac:dyDescent="0.25">
      <c r="C60" s="3" t="s">
        <v>66</v>
      </c>
      <c r="D60" s="4">
        <v>2400</v>
      </c>
      <c r="P60" s="5">
        <f t="shared" si="19"/>
        <v>2400</v>
      </c>
      <c r="Q60" t="s">
        <v>116</v>
      </c>
      <c r="T60" s="24">
        <f t="shared" si="18"/>
        <v>3.7617391304347825</v>
      </c>
    </row>
    <row r="61" spans="2:22" x14ac:dyDescent="0.25">
      <c r="C61" s="3" t="s">
        <v>67</v>
      </c>
      <c r="D61" s="4">
        <v>85</v>
      </c>
      <c r="P61" s="5">
        <f t="shared" si="19"/>
        <v>85</v>
      </c>
      <c r="T61" s="24">
        <f t="shared" si="18"/>
        <v>0.13322826086956518</v>
      </c>
    </row>
    <row r="62" spans="2:22" x14ac:dyDescent="0.25">
      <c r="C62" s="3" t="s">
        <v>107</v>
      </c>
      <c r="D62" s="4">
        <v>3000</v>
      </c>
      <c r="P62" s="5">
        <f t="shared" si="19"/>
        <v>3000</v>
      </c>
      <c r="Q62" t="s">
        <v>105</v>
      </c>
      <c r="T62" s="24">
        <f t="shared" si="18"/>
        <v>4.7021739130434774</v>
      </c>
    </row>
    <row r="63" spans="2:22" ht="15.75" thickBot="1" x14ac:dyDescent="0.3">
      <c r="B63" s="2" t="s">
        <v>58</v>
      </c>
      <c r="D63" s="12">
        <f t="shared" ref="D63:P63" si="20">SUM(D55:D62)</f>
        <v>16745</v>
      </c>
      <c r="E63" s="12">
        <f t="shared" si="20"/>
        <v>0</v>
      </c>
      <c r="F63" s="12">
        <f t="shared" si="20"/>
        <v>0</v>
      </c>
      <c r="G63" s="12">
        <f t="shared" si="20"/>
        <v>0</v>
      </c>
      <c r="H63" s="12">
        <f t="shared" si="20"/>
        <v>0</v>
      </c>
      <c r="I63" s="12">
        <f t="shared" si="20"/>
        <v>5000</v>
      </c>
      <c r="J63" s="12">
        <f t="shared" si="20"/>
        <v>0</v>
      </c>
      <c r="K63" s="12">
        <f t="shared" si="20"/>
        <v>0</v>
      </c>
      <c r="L63" s="12">
        <f t="shared" si="20"/>
        <v>0</v>
      </c>
      <c r="M63" s="12">
        <f t="shared" si="20"/>
        <v>0</v>
      </c>
      <c r="N63" s="12">
        <f t="shared" si="20"/>
        <v>0</v>
      </c>
      <c r="O63" s="12">
        <f t="shared" si="20"/>
        <v>12500</v>
      </c>
      <c r="P63" s="12">
        <f t="shared" si="20"/>
        <v>34245</v>
      </c>
      <c r="T63" s="31">
        <f t="shared" si="18"/>
        <v>53.675315217391301</v>
      </c>
      <c r="V63" t="s">
        <v>96</v>
      </c>
    </row>
    <row r="64" spans="2:22" ht="15.75" thickTop="1" x14ac:dyDescent="0.25"/>
    <row r="65" spans="2:22" ht="15.75" thickBot="1" x14ac:dyDescent="0.3">
      <c r="B65" s="17" t="s">
        <v>68</v>
      </c>
      <c r="C65" s="20"/>
      <c r="D65" s="21">
        <f t="shared" ref="D65:P65" si="21">D63+D51</f>
        <v>22374.321428571428</v>
      </c>
      <c r="E65" s="21">
        <f t="shared" si="21"/>
        <v>2994.5714285714284</v>
      </c>
      <c r="F65" s="21">
        <f t="shared" si="21"/>
        <v>2476.3214285714284</v>
      </c>
      <c r="G65" s="21">
        <f t="shared" si="21"/>
        <v>2739.3214285714284</v>
      </c>
      <c r="H65" s="21">
        <f t="shared" si="21"/>
        <v>2026.3214285714287</v>
      </c>
      <c r="I65" s="21">
        <f t="shared" si="21"/>
        <v>7907.5714285714284</v>
      </c>
      <c r="J65" s="21">
        <f t="shared" si="21"/>
        <v>3796.3214285714284</v>
      </c>
      <c r="K65" s="21">
        <f t="shared" si="21"/>
        <v>2023.3214285714287</v>
      </c>
      <c r="L65" s="21">
        <f t="shared" si="21"/>
        <v>1838.3214285714287</v>
      </c>
      <c r="M65" s="21">
        <f t="shared" si="21"/>
        <v>1558.3214285714287</v>
      </c>
      <c r="N65" s="21">
        <f t="shared" si="21"/>
        <v>1788.3214285714287</v>
      </c>
      <c r="O65" s="21">
        <f t="shared" si="21"/>
        <v>14538.321428571429</v>
      </c>
      <c r="P65" s="19">
        <f t="shared" si="21"/>
        <v>66061.357142857145</v>
      </c>
      <c r="T65" s="28">
        <f>P65/$P$72*T$72</f>
        <v>103.54399673913044</v>
      </c>
      <c r="V65" t="s">
        <v>94</v>
      </c>
    </row>
    <row r="67" spans="2:22" x14ac:dyDescent="0.25">
      <c r="B67" s="22"/>
      <c r="C67" s="3" t="s">
        <v>69</v>
      </c>
      <c r="D67" s="4">
        <v>450</v>
      </c>
      <c r="P67" s="5">
        <f>SUM(D67:O67)</f>
        <v>450</v>
      </c>
      <c r="Q67" t="s">
        <v>70</v>
      </c>
      <c r="T67" s="24">
        <f t="shared" ref="T67:T69" si="22">P67/$P$72*T$72</f>
        <v>0.70532608695652166</v>
      </c>
    </row>
    <row r="68" spans="2:22" x14ac:dyDescent="0.25">
      <c r="C68" s="3" t="s">
        <v>71</v>
      </c>
      <c r="D68" s="4">
        <v>545.26</v>
      </c>
      <c r="P68" s="5">
        <f>SUM(D68:O68)</f>
        <v>545.26</v>
      </c>
      <c r="Q68" t="s">
        <v>72</v>
      </c>
      <c r="T68" s="24">
        <f t="shared" si="22"/>
        <v>0.85463578260869555</v>
      </c>
    </row>
    <row r="69" spans="2:22" ht="15.75" thickBot="1" x14ac:dyDescent="0.3">
      <c r="B69" s="23" t="s">
        <v>85</v>
      </c>
      <c r="D69" s="11">
        <f>SUM(D67:D68)</f>
        <v>995.26</v>
      </c>
      <c r="E69" s="11">
        <f t="shared" ref="E69:P69" si="23">SUM(E67:E68)</f>
        <v>0</v>
      </c>
      <c r="F69" s="11">
        <f t="shared" si="23"/>
        <v>0</v>
      </c>
      <c r="G69" s="11">
        <f t="shared" si="23"/>
        <v>0</v>
      </c>
      <c r="H69" s="11">
        <f t="shared" si="23"/>
        <v>0</v>
      </c>
      <c r="I69" s="11">
        <f t="shared" si="23"/>
        <v>0</v>
      </c>
      <c r="J69" s="11">
        <f t="shared" si="23"/>
        <v>0</v>
      </c>
      <c r="K69" s="11">
        <f t="shared" si="23"/>
        <v>0</v>
      </c>
      <c r="L69" s="11">
        <f t="shared" si="23"/>
        <v>0</v>
      </c>
      <c r="M69" s="11">
        <f t="shared" si="23"/>
        <v>0</v>
      </c>
      <c r="N69" s="11">
        <f t="shared" si="23"/>
        <v>0</v>
      </c>
      <c r="O69" s="11">
        <f t="shared" si="23"/>
        <v>0</v>
      </c>
      <c r="P69" s="12">
        <f t="shared" si="23"/>
        <v>995.26</v>
      </c>
      <c r="T69" s="28">
        <f t="shared" si="22"/>
        <v>1.5599618695652171</v>
      </c>
      <c r="V69" t="s">
        <v>97</v>
      </c>
    </row>
    <row r="70" spans="2:22" ht="15.75" thickTop="1" x14ac:dyDescent="0.25"/>
    <row r="71" spans="2:22" ht="15.75" thickBot="1" x14ac:dyDescent="0.3">
      <c r="B71" s="2" t="s">
        <v>73</v>
      </c>
    </row>
    <row r="72" spans="2:22" ht="15.75" thickBot="1" x14ac:dyDescent="0.3">
      <c r="C72" s="3" t="s">
        <v>74</v>
      </c>
      <c r="D72" s="4">
        <v>15500</v>
      </c>
      <c r="I72" s="4">
        <v>15500</v>
      </c>
      <c r="P72" s="5">
        <f t="shared" ref="P72:P78" si="24">SUM(D72:O72)</f>
        <v>31000</v>
      </c>
      <c r="R72" s="3" t="s">
        <v>75</v>
      </c>
      <c r="S72" s="29">
        <v>36.049999999999997</v>
      </c>
      <c r="T72" s="30">
        <f>31000/23000*S72</f>
        <v>48.589130434782604</v>
      </c>
      <c r="U72" s="33">
        <f>T72-S72</f>
        <v>12.539130434782606</v>
      </c>
      <c r="V72" t="s">
        <v>99</v>
      </c>
    </row>
    <row r="73" spans="2:22" x14ac:dyDescent="0.25">
      <c r="C73" s="3" t="s">
        <v>76</v>
      </c>
      <c r="D73" s="4">
        <v>452</v>
      </c>
      <c r="E73" s="4">
        <v>452</v>
      </c>
      <c r="F73" s="4">
        <v>452</v>
      </c>
      <c r="G73" s="4">
        <v>452</v>
      </c>
      <c r="H73" s="4">
        <v>452</v>
      </c>
      <c r="I73" s="4">
        <v>452</v>
      </c>
      <c r="J73" s="4">
        <v>452</v>
      </c>
      <c r="K73" s="4">
        <v>452</v>
      </c>
      <c r="L73" s="4">
        <v>452</v>
      </c>
      <c r="M73" s="4">
        <v>452</v>
      </c>
      <c r="N73" s="4">
        <v>452</v>
      </c>
      <c r="O73" s="4">
        <v>452</v>
      </c>
      <c r="P73" s="5">
        <f t="shared" si="24"/>
        <v>5424</v>
      </c>
      <c r="Q73" t="s">
        <v>106</v>
      </c>
      <c r="T73" s="24">
        <f>P73/$P$72*T$72</f>
        <v>8.5015304347826071</v>
      </c>
      <c r="V73" t="s">
        <v>98</v>
      </c>
    </row>
    <row r="74" spans="2:22" x14ac:dyDescent="0.25">
      <c r="C74" s="3" t="s">
        <v>77</v>
      </c>
      <c r="D74" s="4">
        <v>1.27</v>
      </c>
      <c r="E74" s="4">
        <v>1.27</v>
      </c>
      <c r="F74" s="4">
        <v>1.27</v>
      </c>
      <c r="G74" s="4">
        <v>1.27</v>
      </c>
      <c r="H74" s="4">
        <v>1.27</v>
      </c>
      <c r="I74" s="4">
        <v>1.27</v>
      </c>
      <c r="J74" s="4">
        <v>1.27</v>
      </c>
      <c r="K74" s="4">
        <v>1.27</v>
      </c>
      <c r="L74" s="4">
        <v>1.27</v>
      </c>
      <c r="M74" s="4">
        <v>1.27</v>
      </c>
      <c r="N74" s="4">
        <v>1.27</v>
      </c>
      <c r="O74" s="4">
        <v>1.27</v>
      </c>
      <c r="P74" s="5">
        <f t="shared" si="24"/>
        <v>15.239999999999997</v>
      </c>
      <c r="T74" s="24">
        <f t="shared" ref="T74:T84" si="25">P74/$P$72*T$72</f>
        <v>2.3887043478260862E-2</v>
      </c>
    </row>
    <row r="75" spans="2:22" x14ac:dyDescent="0.25">
      <c r="C75" s="3" t="s">
        <v>78</v>
      </c>
      <c r="I75" s="4">
        <v>500</v>
      </c>
      <c r="P75" s="5">
        <f t="shared" si="24"/>
        <v>500</v>
      </c>
      <c r="T75" s="24">
        <f t="shared" si="25"/>
        <v>0.7836956521739129</v>
      </c>
    </row>
    <row r="76" spans="2:22" x14ac:dyDescent="0.25">
      <c r="C76" s="3" t="s">
        <v>79</v>
      </c>
      <c r="P76" s="5">
        <f t="shared" si="24"/>
        <v>0</v>
      </c>
      <c r="Q76" t="s">
        <v>103</v>
      </c>
      <c r="T76" s="24">
        <f t="shared" si="25"/>
        <v>0</v>
      </c>
      <c r="V76" t="s">
        <v>100</v>
      </c>
    </row>
    <row r="77" spans="2:22" x14ac:dyDescent="0.25">
      <c r="C77" s="3" t="s">
        <v>80</v>
      </c>
      <c r="D77" s="4">
        <f t="shared" ref="D77:O77" si="26">D37*2/3</f>
        <v>15.333333333333334</v>
      </c>
      <c r="E77" s="4">
        <f t="shared" si="26"/>
        <v>15.333333333333334</v>
      </c>
      <c r="F77" s="4">
        <f t="shared" si="26"/>
        <v>15.333333333333334</v>
      </c>
      <c r="G77" s="4">
        <f t="shared" si="26"/>
        <v>15.333333333333334</v>
      </c>
      <c r="H77" s="4">
        <f t="shared" si="26"/>
        <v>15.333333333333334</v>
      </c>
      <c r="I77" s="4">
        <f t="shared" si="26"/>
        <v>15.333333333333334</v>
      </c>
      <c r="J77" s="4">
        <f t="shared" si="26"/>
        <v>15.333333333333334</v>
      </c>
      <c r="K77" s="4">
        <f t="shared" si="26"/>
        <v>15.333333333333334</v>
      </c>
      <c r="L77" s="4">
        <f t="shared" si="26"/>
        <v>15.333333333333334</v>
      </c>
      <c r="M77" s="4">
        <f t="shared" si="26"/>
        <v>15.333333333333334</v>
      </c>
      <c r="N77" s="4">
        <f t="shared" si="26"/>
        <v>15.333333333333334</v>
      </c>
      <c r="O77" s="4">
        <f t="shared" si="26"/>
        <v>15.333333333333334</v>
      </c>
      <c r="P77" s="5">
        <f t="shared" si="24"/>
        <v>184.00000000000003</v>
      </c>
      <c r="Q77" t="s">
        <v>93</v>
      </c>
      <c r="T77" s="24">
        <f t="shared" si="25"/>
        <v>0.28839999999999999</v>
      </c>
      <c r="V77" t="s">
        <v>102</v>
      </c>
    </row>
    <row r="78" spans="2:22" x14ac:dyDescent="0.25">
      <c r="C78" s="3" t="s">
        <v>81</v>
      </c>
      <c r="D78" s="4">
        <v>25</v>
      </c>
      <c r="E78" s="4">
        <v>25</v>
      </c>
      <c r="F78" s="4">
        <v>25</v>
      </c>
      <c r="G78" s="4">
        <v>25</v>
      </c>
      <c r="H78" s="4">
        <v>25</v>
      </c>
      <c r="I78" s="4">
        <v>25</v>
      </c>
      <c r="J78" s="4">
        <v>25</v>
      </c>
      <c r="K78" s="4">
        <v>25</v>
      </c>
      <c r="L78" s="4">
        <v>25</v>
      </c>
      <c r="M78" s="4">
        <v>25</v>
      </c>
      <c r="N78" s="4">
        <v>25</v>
      </c>
      <c r="O78" s="4">
        <v>25</v>
      </c>
      <c r="P78" s="5">
        <f t="shared" si="24"/>
        <v>300</v>
      </c>
      <c r="Q78" t="s">
        <v>92</v>
      </c>
      <c r="T78" s="24">
        <f t="shared" si="25"/>
        <v>0.47021739130434781</v>
      </c>
    </row>
    <row r="80" spans="2:22" ht="15.75" thickBot="1" x14ac:dyDescent="0.3">
      <c r="B80" s="17" t="s">
        <v>82</v>
      </c>
      <c r="C80" s="18"/>
      <c r="D80" s="19">
        <f>SUM(D72:D79)</f>
        <v>15993.603333333334</v>
      </c>
      <c r="E80" s="19">
        <f t="shared" ref="E80:P80" si="27">SUM(E72:E79)</f>
        <v>493.6033333333333</v>
      </c>
      <c r="F80" s="19">
        <f t="shared" si="27"/>
        <v>493.6033333333333</v>
      </c>
      <c r="G80" s="19">
        <f t="shared" si="27"/>
        <v>493.6033333333333</v>
      </c>
      <c r="H80" s="19">
        <f t="shared" si="27"/>
        <v>493.6033333333333</v>
      </c>
      <c r="I80" s="19">
        <f t="shared" si="27"/>
        <v>16493.603333333333</v>
      </c>
      <c r="J80" s="19">
        <f t="shared" si="27"/>
        <v>493.6033333333333</v>
      </c>
      <c r="K80" s="19">
        <f t="shared" si="27"/>
        <v>493.6033333333333</v>
      </c>
      <c r="L80" s="19">
        <f t="shared" si="27"/>
        <v>493.6033333333333</v>
      </c>
      <c r="M80" s="19">
        <f t="shared" si="27"/>
        <v>493.6033333333333</v>
      </c>
      <c r="N80" s="19">
        <f t="shared" si="27"/>
        <v>493.6033333333333</v>
      </c>
      <c r="O80" s="19">
        <f t="shared" si="27"/>
        <v>493.6033333333333</v>
      </c>
      <c r="P80" s="19">
        <f t="shared" si="27"/>
        <v>37423.24</v>
      </c>
      <c r="T80" s="28">
        <f>P80/$P$72*T$72</f>
        <v>58.656860956521733</v>
      </c>
    </row>
    <row r="82" spans="2:22" x14ac:dyDescent="0.25">
      <c r="C82" s="3" t="s">
        <v>83</v>
      </c>
      <c r="D82" s="4">
        <v>29633.41</v>
      </c>
      <c r="E82" s="4">
        <f>D84</f>
        <v>22257.431904761906</v>
      </c>
      <c r="F82" s="4">
        <f t="shared" ref="F82:O82" si="28">E84</f>
        <v>19756.463809523812</v>
      </c>
      <c r="G82" s="4">
        <f t="shared" si="28"/>
        <v>17773.745714285717</v>
      </c>
      <c r="H82" s="4">
        <f t="shared" si="28"/>
        <v>15528.027619047622</v>
      </c>
      <c r="I82" s="4">
        <f t="shared" si="28"/>
        <v>13995.309523809525</v>
      </c>
      <c r="J82" s="4">
        <f t="shared" si="28"/>
        <v>22581.341428571432</v>
      </c>
      <c r="K82" s="4">
        <f t="shared" si="28"/>
        <v>19278.623333333337</v>
      </c>
      <c r="L82" s="4">
        <f t="shared" si="28"/>
        <v>17748.905238095242</v>
      </c>
      <c r="M82" s="4">
        <f t="shared" si="28"/>
        <v>16404.187142857147</v>
      </c>
      <c r="N82" s="4">
        <f t="shared" si="28"/>
        <v>15339.46904761905</v>
      </c>
      <c r="O82" s="4">
        <f t="shared" si="28"/>
        <v>14044.750952380953</v>
      </c>
      <c r="P82" s="5">
        <v>29633.41</v>
      </c>
      <c r="T82" s="24">
        <f t="shared" si="25"/>
        <v>46.447149152173907</v>
      </c>
      <c r="V82" t="s">
        <v>101</v>
      </c>
    </row>
    <row r="84" spans="2:22" ht="15.75" thickBot="1" x14ac:dyDescent="0.3">
      <c r="B84" s="17" t="s">
        <v>84</v>
      </c>
      <c r="C84" s="18"/>
      <c r="D84" s="19">
        <f>D82+D80-D69-D65</f>
        <v>22257.431904761906</v>
      </c>
      <c r="E84" s="19">
        <f>E82+E80-E69-E65</f>
        <v>19756.463809523812</v>
      </c>
      <c r="F84" s="19">
        <f t="shared" ref="F84:P84" si="29">F82+F80-F69-F65</f>
        <v>17773.745714285717</v>
      </c>
      <c r="G84" s="19">
        <f t="shared" si="29"/>
        <v>15528.027619047622</v>
      </c>
      <c r="H84" s="19">
        <f t="shared" si="29"/>
        <v>13995.309523809525</v>
      </c>
      <c r="I84" s="19">
        <f t="shared" si="29"/>
        <v>22581.341428571432</v>
      </c>
      <c r="J84" s="19">
        <f t="shared" si="29"/>
        <v>19278.623333333337</v>
      </c>
      <c r="K84" s="19">
        <f t="shared" si="29"/>
        <v>17748.905238095242</v>
      </c>
      <c r="L84" s="19">
        <f t="shared" si="29"/>
        <v>16404.187142857147</v>
      </c>
      <c r="M84" s="19">
        <f t="shared" si="29"/>
        <v>15339.46904761905</v>
      </c>
      <c r="N84" s="19">
        <f t="shared" si="29"/>
        <v>14044.750952380953</v>
      </c>
      <c r="O84" s="19">
        <f t="shared" si="29"/>
        <v>3.2857142856300925E-2</v>
      </c>
      <c r="P84" s="19">
        <f t="shared" si="29"/>
        <v>3.2857142854481936E-2</v>
      </c>
      <c r="T84" s="28">
        <f t="shared" si="25"/>
        <v>5.1499999995829289E-5</v>
      </c>
    </row>
  </sheetData>
  <mergeCells count="1">
    <mergeCell ref="S1:U1"/>
  </mergeCells>
  <printOptions horizontalCentered="1"/>
  <pageMargins left="0.23622047244094491" right="0.23622047244094491" top="0.39370078740157483" bottom="0.74803149606299213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2019 - 2020 Final Draft Budget</vt:lpstr>
      <vt:lpstr>'2019 - 2020 Final Draft Budget'!Print_Area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2018-12-13T23:41:42Z</cp:lastPrinted>
  <dcterms:created xsi:type="dcterms:W3CDTF">2018-10-11T17:00:56Z</dcterms:created>
  <dcterms:modified xsi:type="dcterms:W3CDTF">2018-12-18T13:34:55Z</dcterms:modified>
</cp:coreProperties>
</file>